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mc:AlternateContent xmlns:mc="http://schemas.openxmlformats.org/markup-compatibility/2006">
    <mc:Choice Requires="x15">
      <x15ac:absPath xmlns:x15ac="http://schemas.microsoft.com/office/spreadsheetml/2010/11/ac" url="https://victorianplanningauthority-my.sharepoint.com/personal/david_housden_vpa_vic_gov_au/Documents/Desktop/Shepparton SE/Engage Vic/Tech Reports/"/>
    </mc:Choice>
  </mc:AlternateContent>
  <xr:revisionPtr revIDLastSave="0" documentId="8_{719CF167-56FC-4157-8077-776A1EE14872}" xr6:coauthVersionLast="47" xr6:coauthVersionMax="47" xr10:uidLastSave="{00000000-0000-0000-0000-000000000000}"/>
  <bookViews>
    <workbookView xWindow="-56475" yWindow="1125" windowWidth="21600" windowHeight="11715" tabRatio="649" activeTab="6" xr2:uid="{00000000-000D-0000-FFFF-FFFF00000000}"/>
  </bookViews>
  <sheets>
    <sheet name="Summary" sheetId="4" r:id="rId1"/>
    <sheet name="2501_2" sheetId="18" r:id="rId2"/>
    <sheet name="2511_2" sheetId="19" r:id="rId3"/>
    <sheet name="2521_2" sheetId="20" r:id="rId4"/>
    <sheet name="2531" sheetId="21" r:id="rId5"/>
    <sheet name="2541_2" sheetId="22" r:id="rId6"/>
    <sheet name="2601_2701_4" sheetId="23" r:id="rId7"/>
    <sheet name="2708_9" sheetId="24" r:id="rId8"/>
    <sheet name="2710_1" sheetId="25" r:id="rId9"/>
    <sheet name="2717_21" sheetId="26" r:id="rId10"/>
    <sheet name="2602_2705" sheetId="27" r:id="rId11"/>
    <sheet name="2706_7" sheetId="28" r:id="rId12"/>
    <sheet name="2712_3" sheetId="29" r:id="rId13"/>
    <sheet name="2714_6" sheetId="30" r:id="rId14"/>
    <sheet name="2801_2806" sheetId="31" r:id="rId15"/>
    <sheet name="2811_5" sheetId="32" r:id="rId16"/>
    <sheet name="Single intersection" sheetId="12" state="hidden" r:id="rId17"/>
    <sheet name="double intersection" sheetId="13" state="hidden" r:id="rId18"/>
    <sheet name="Park" sheetId="8" state="hidden" r:id="rId19"/>
    <sheet name="Sewer" sheetId="9" state="hidden" r:id="rId20"/>
    <sheet name="Water" sheetId="10" state="hidden" r:id="rId21"/>
  </sheets>
  <definedNames>
    <definedName name="_Order1" hidden="1">255</definedName>
    <definedName name="_Order2" hidden="1">0</definedName>
    <definedName name="_xlnm.Print_Area" localSheetId="17">'double intersection'!$A$1:$G$89</definedName>
    <definedName name="_xlnm.Print_Area" localSheetId="18">Park!$A$1:$G$48</definedName>
    <definedName name="_xlnm.Print_Titles" localSheetId="17">'double intersection'!$1:$8</definedName>
    <definedName name="_xlnm.Print_Titles" localSheetId="18">Park!$1:$8</definedName>
    <definedName name="_xlnm.Print_Titles" localSheetId="16">'Single intersection'!$1:$5</definedName>
    <definedName name="_xlnm.Print_Titles" localSheetId="0">Summary!#REF!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6" i="30" l="1"/>
  <c r="J6" i="28"/>
  <c r="J6" i="24"/>
  <c r="F83" i="4" l="1"/>
  <c r="F82" i="4"/>
  <c r="F25" i="4"/>
  <c r="F19" i="4"/>
  <c r="C67" i="32"/>
  <c r="F67" i="32" s="1"/>
  <c r="C53" i="32"/>
  <c r="C54" i="32"/>
  <c r="C14" i="32"/>
  <c r="C37" i="32"/>
  <c r="C38" i="32" s="1"/>
  <c r="F38" i="32" s="1"/>
  <c r="C33" i="32"/>
  <c r="C59" i="32" s="1"/>
  <c r="F59" i="32" s="1"/>
  <c r="C35" i="32"/>
  <c r="F35" i="32" s="1"/>
  <c r="F81" i="32"/>
  <c r="F80" i="32"/>
  <c r="F75" i="32"/>
  <c r="F74" i="32"/>
  <c r="F71" i="32"/>
  <c r="F70" i="32"/>
  <c r="F69" i="32"/>
  <c r="F66" i="32"/>
  <c r="F65" i="32"/>
  <c r="F63" i="32"/>
  <c r="F62" i="32"/>
  <c r="F60" i="32"/>
  <c r="F58" i="32"/>
  <c r="F56" i="32"/>
  <c r="F55" i="32"/>
  <c r="F54" i="32"/>
  <c r="F53" i="32"/>
  <c r="F51" i="32"/>
  <c r="F50" i="32"/>
  <c r="F48" i="32"/>
  <c r="F47" i="32"/>
  <c r="F45" i="32"/>
  <c r="E44" i="32"/>
  <c r="F44" i="32" s="1"/>
  <c r="C44" i="32"/>
  <c r="E41" i="32"/>
  <c r="F41" i="32" s="1"/>
  <c r="C41" i="32"/>
  <c r="E40" i="32"/>
  <c r="E43" i="32" s="1"/>
  <c r="F43" i="32" s="1"/>
  <c r="F34" i="32"/>
  <c r="E30" i="32"/>
  <c r="C30" i="32"/>
  <c r="F30" i="32" s="1"/>
  <c r="E29" i="32"/>
  <c r="C29" i="32"/>
  <c r="C27" i="32"/>
  <c r="E26" i="32"/>
  <c r="F26" i="32" s="1"/>
  <c r="F24" i="32"/>
  <c r="C24" i="32"/>
  <c r="C23" i="32"/>
  <c r="F23" i="32" s="1"/>
  <c r="E22" i="32"/>
  <c r="F22" i="32" s="1"/>
  <c r="E21" i="32"/>
  <c r="C21" i="32"/>
  <c r="F20" i="32"/>
  <c r="E16" i="32"/>
  <c r="E28" i="32" s="1"/>
  <c r="F28" i="32" s="1"/>
  <c r="E15" i="32"/>
  <c r="E27" i="32" s="1"/>
  <c r="F14" i="32"/>
  <c r="F9" i="32"/>
  <c r="F8" i="32"/>
  <c r="C53" i="31"/>
  <c r="C55" i="31"/>
  <c r="F58" i="30"/>
  <c r="F58" i="29"/>
  <c r="F58" i="28"/>
  <c r="F60" i="28"/>
  <c r="F58" i="27"/>
  <c r="F58" i="26"/>
  <c r="F58" i="25"/>
  <c r="F58" i="24"/>
  <c r="F58" i="23"/>
  <c r="F58" i="22"/>
  <c r="F58" i="21"/>
  <c r="F58" i="20"/>
  <c r="F58" i="19"/>
  <c r="F58" i="18"/>
  <c r="F58" i="4" s="1"/>
  <c r="F58" i="31"/>
  <c r="C27" i="18"/>
  <c r="F81" i="31"/>
  <c r="C67" i="31"/>
  <c r="C37" i="31"/>
  <c r="C14" i="31"/>
  <c r="F21" i="32" l="1"/>
  <c r="F27" i="32"/>
  <c r="F61" i="32"/>
  <c r="F29" i="32"/>
  <c r="E78" i="32"/>
  <c r="F78" i="32" s="1"/>
  <c r="E72" i="32"/>
  <c r="F72" i="32" s="1"/>
  <c r="F64" i="32"/>
  <c r="E77" i="32" s="1"/>
  <c r="F77" i="32" s="1"/>
  <c r="C7" i="32"/>
  <c r="F7" i="32" s="1"/>
  <c r="F33" i="32"/>
  <c r="F46" i="32"/>
  <c r="C15" i="32"/>
  <c r="F37" i="32"/>
  <c r="F40" i="32"/>
  <c r="F31" i="32" s="1"/>
  <c r="F68" i="32"/>
  <c r="E79" i="32" s="1"/>
  <c r="F79" i="32" s="1"/>
  <c r="C33" i="31"/>
  <c r="C7" i="31" s="1"/>
  <c r="C59" i="31"/>
  <c r="F59" i="31" s="1"/>
  <c r="C75" i="31"/>
  <c r="F80" i="31"/>
  <c r="F75" i="31"/>
  <c r="F74" i="31"/>
  <c r="F71" i="31"/>
  <c r="F70" i="31"/>
  <c r="F69" i="31"/>
  <c r="F67" i="31"/>
  <c r="F66" i="31"/>
  <c r="F65" i="31"/>
  <c r="F63" i="31"/>
  <c r="F62" i="31"/>
  <c r="E78" i="31" s="1"/>
  <c r="F78" i="31" s="1"/>
  <c r="F61" i="31"/>
  <c r="F60" i="31"/>
  <c r="F56" i="31"/>
  <c r="F55" i="31"/>
  <c r="F54" i="31"/>
  <c r="F53" i="31"/>
  <c r="F51" i="31"/>
  <c r="F50" i="31"/>
  <c r="F48" i="31"/>
  <c r="F47" i="31"/>
  <c r="F45" i="31"/>
  <c r="F44" i="31"/>
  <c r="E44" i="31"/>
  <c r="C44" i="31"/>
  <c r="E41" i="31"/>
  <c r="F41" i="31" s="1"/>
  <c r="C41" i="31"/>
  <c r="E40" i="31"/>
  <c r="F40" i="31" s="1"/>
  <c r="C38" i="31"/>
  <c r="F38" i="31" s="1"/>
  <c r="F37" i="31"/>
  <c r="F34" i="31"/>
  <c r="E30" i="31"/>
  <c r="C30" i="31"/>
  <c r="F30" i="31" s="1"/>
  <c r="E29" i="31"/>
  <c r="C29" i="31"/>
  <c r="C27" i="31"/>
  <c r="E26" i="31"/>
  <c r="F26" i="31" s="1"/>
  <c r="C24" i="31"/>
  <c r="F24" i="31" s="1"/>
  <c r="C23" i="31"/>
  <c r="F23" i="31" s="1"/>
  <c r="E22" i="31"/>
  <c r="F22" i="31" s="1"/>
  <c r="E21" i="31"/>
  <c r="C21" i="31"/>
  <c r="F20" i="31"/>
  <c r="E16" i="31"/>
  <c r="E28" i="31" s="1"/>
  <c r="F28" i="31" s="1"/>
  <c r="E15" i="31"/>
  <c r="E27" i="31" s="1"/>
  <c r="F14" i="31"/>
  <c r="F9" i="31"/>
  <c r="F8" i="31"/>
  <c r="C54" i="30"/>
  <c r="C53" i="30"/>
  <c r="F53" i="30" s="1"/>
  <c r="C53" i="28"/>
  <c r="F53" i="28" s="1"/>
  <c r="C67" i="28"/>
  <c r="C71" i="28"/>
  <c r="F71" i="28" s="1"/>
  <c r="E72" i="28" s="1"/>
  <c r="F72" i="28" s="1"/>
  <c r="F68" i="28" s="1"/>
  <c r="E79" i="28" s="1"/>
  <c r="F79" i="28" s="1"/>
  <c r="C43" i="28"/>
  <c r="C33" i="28"/>
  <c r="C14" i="28"/>
  <c r="C53" i="27"/>
  <c r="F53" i="27" s="1"/>
  <c r="F81" i="30"/>
  <c r="F80" i="30" s="1"/>
  <c r="C43" i="30"/>
  <c r="C7" i="30" s="1"/>
  <c r="C14" i="30"/>
  <c r="C15" i="30" s="1"/>
  <c r="C67" i="30"/>
  <c r="F67" i="30" s="1"/>
  <c r="C71" i="30"/>
  <c r="F71" i="30" s="1"/>
  <c r="F75" i="30"/>
  <c r="F74" i="30"/>
  <c r="F70" i="30"/>
  <c r="F69" i="30"/>
  <c r="F66" i="30"/>
  <c r="F65" i="30"/>
  <c r="F63" i="30"/>
  <c r="F62" i="30"/>
  <c r="F60" i="30"/>
  <c r="F56" i="30"/>
  <c r="F55" i="30"/>
  <c r="F54" i="30"/>
  <c r="F51" i="30"/>
  <c r="F50" i="30"/>
  <c r="F48" i="30"/>
  <c r="F47" i="30"/>
  <c r="F45" i="30"/>
  <c r="E44" i="30"/>
  <c r="E41" i="30"/>
  <c r="F41" i="30" s="1"/>
  <c r="C41" i="30"/>
  <c r="F40" i="30"/>
  <c r="E40" i="30"/>
  <c r="E43" i="30" s="1"/>
  <c r="C38" i="30"/>
  <c r="F38" i="30" s="1"/>
  <c r="F37" i="30"/>
  <c r="F35" i="30"/>
  <c r="F34" i="30"/>
  <c r="E30" i="30"/>
  <c r="C30" i="30"/>
  <c r="F30" i="30" s="1"/>
  <c r="E29" i="30"/>
  <c r="F29" i="30" s="1"/>
  <c r="C29" i="30"/>
  <c r="C27" i="30"/>
  <c r="E26" i="30"/>
  <c r="F26" i="30" s="1"/>
  <c r="C24" i="30"/>
  <c r="F24" i="30" s="1"/>
  <c r="C23" i="30"/>
  <c r="F23" i="30" s="1"/>
  <c r="E22" i="30"/>
  <c r="F22" i="30" s="1"/>
  <c r="E21" i="30"/>
  <c r="F21" i="30" s="1"/>
  <c r="C21" i="30"/>
  <c r="F20" i="30"/>
  <c r="E16" i="30"/>
  <c r="E28" i="30" s="1"/>
  <c r="F28" i="30" s="1"/>
  <c r="E15" i="30"/>
  <c r="E27" i="30" s="1"/>
  <c r="F9" i="30"/>
  <c r="F8" i="30"/>
  <c r="F81" i="26"/>
  <c r="F81" i="21"/>
  <c r="F81" i="20"/>
  <c r="F81" i="29"/>
  <c r="F80" i="29" s="1"/>
  <c r="C14" i="29"/>
  <c r="C15" i="29" s="1"/>
  <c r="C16" i="29" s="1"/>
  <c r="C33" i="29"/>
  <c r="C43" i="29"/>
  <c r="C44" i="29" s="1"/>
  <c r="F75" i="29"/>
  <c r="F74" i="29"/>
  <c r="F71" i="29"/>
  <c r="F70" i="29"/>
  <c r="F69" i="29"/>
  <c r="F67" i="29"/>
  <c r="C67" i="29"/>
  <c r="F66" i="29"/>
  <c r="F65" i="29"/>
  <c r="F63" i="29"/>
  <c r="F62" i="29"/>
  <c r="E78" i="29" s="1"/>
  <c r="F78" i="29" s="1"/>
  <c r="F60" i="29"/>
  <c r="F56" i="29"/>
  <c r="F55" i="29"/>
  <c r="F54" i="29"/>
  <c r="F53" i="29"/>
  <c r="F51" i="29"/>
  <c r="F50" i="29"/>
  <c r="F48" i="29"/>
  <c r="F47" i="29"/>
  <c r="F45" i="29"/>
  <c r="E44" i="29"/>
  <c r="E41" i="29"/>
  <c r="C41" i="29"/>
  <c r="F41" i="29" s="1"/>
  <c r="E40" i="29"/>
  <c r="E43" i="29" s="1"/>
  <c r="C38" i="29"/>
  <c r="F38" i="29" s="1"/>
  <c r="F37" i="29"/>
  <c r="F35" i="29"/>
  <c r="F34" i="29"/>
  <c r="F33" i="29"/>
  <c r="E30" i="29"/>
  <c r="C30" i="29"/>
  <c r="E29" i="29"/>
  <c r="C29" i="29"/>
  <c r="F29" i="29" s="1"/>
  <c r="C27" i="29"/>
  <c r="E26" i="29"/>
  <c r="F26" i="29" s="1"/>
  <c r="C24" i="29"/>
  <c r="F24" i="29" s="1"/>
  <c r="C23" i="29"/>
  <c r="F23" i="29" s="1"/>
  <c r="E22" i="29"/>
  <c r="F22" i="29" s="1"/>
  <c r="E21" i="29"/>
  <c r="C21" i="29"/>
  <c r="F21" i="29" s="1"/>
  <c r="F20" i="29"/>
  <c r="E16" i="29"/>
  <c r="E28" i="29" s="1"/>
  <c r="F28" i="29" s="1"/>
  <c r="E15" i="29"/>
  <c r="E27" i="29" s="1"/>
  <c r="F27" i="29" s="1"/>
  <c r="F14" i="29"/>
  <c r="F9" i="29"/>
  <c r="F8" i="29"/>
  <c r="F80" i="28"/>
  <c r="F75" i="28"/>
  <c r="F74" i="28"/>
  <c r="F70" i="28"/>
  <c r="F69" i="28"/>
  <c r="F67" i="28"/>
  <c r="F66" i="28"/>
  <c r="F65" i="28"/>
  <c r="F63" i="28"/>
  <c r="F62" i="28"/>
  <c r="E78" i="28" s="1"/>
  <c r="F78" i="28" s="1"/>
  <c r="F56" i="28"/>
  <c r="F55" i="28"/>
  <c r="F54" i="28"/>
  <c r="F51" i="28"/>
  <c r="F50" i="28"/>
  <c r="F48" i="28"/>
  <c r="F47" i="28"/>
  <c r="F45" i="28"/>
  <c r="E44" i="28"/>
  <c r="C44" i="28"/>
  <c r="E41" i="28"/>
  <c r="F41" i="28" s="1"/>
  <c r="C41" i="28"/>
  <c r="E40" i="28"/>
  <c r="E43" i="28" s="1"/>
  <c r="F43" i="28" s="1"/>
  <c r="C38" i="28"/>
  <c r="F38" i="28" s="1"/>
  <c r="F37" i="28"/>
  <c r="F35" i="28"/>
  <c r="F34" i="28"/>
  <c r="F33" i="28"/>
  <c r="E30" i="28"/>
  <c r="C30" i="28"/>
  <c r="E29" i="28"/>
  <c r="C29" i="28"/>
  <c r="C27" i="28"/>
  <c r="E26" i="28"/>
  <c r="F26" i="28" s="1"/>
  <c r="C24" i="28"/>
  <c r="F24" i="28" s="1"/>
  <c r="C23" i="28"/>
  <c r="F23" i="28" s="1"/>
  <c r="E22" i="28"/>
  <c r="F22" i="28" s="1"/>
  <c r="E21" i="28"/>
  <c r="C21" i="28"/>
  <c r="F21" i="28" s="1"/>
  <c r="F20" i="28"/>
  <c r="E16" i="28"/>
  <c r="E28" i="28" s="1"/>
  <c r="F28" i="28" s="1"/>
  <c r="E15" i="28"/>
  <c r="E27" i="28" s="1"/>
  <c r="C15" i="28"/>
  <c r="F14" i="28"/>
  <c r="F9" i="28"/>
  <c r="F8" i="28"/>
  <c r="C67" i="27"/>
  <c r="F67" i="27" s="1"/>
  <c r="C14" i="27"/>
  <c r="C15" i="27" s="1"/>
  <c r="C16" i="27" s="1"/>
  <c r="C43" i="27"/>
  <c r="C44" i="27" s="1"/>
  <c r="C33" i="27"/>
  <c r="F80" i="27"/>
  <c r="E78" i="27"/>
  <c r="F78" i="27" s="1"/>
  <c r="F75" i="27"/>
  <c r="F74" i="27"/>
  <c r="F71" i="27"/>
  <c r="F70" i="27"/>
  <c r="F69" i="27"/>
  <c r="F66" i="27"/>
  <c r="F65" i="27"/>
  <c r="F63" i="27"/>
  <c r="F62" i="27"/>
  <c r="F60" i="27"/>
  <c r="F56" i="27"/>
  <c r="F55" i="27"/>
  <c r="F54" i="27"/>
  <c r="F51" i="27"/>
  <c r="F50" i="27"/>
  <c r="F48" i="27"/>
  <c r="F47" i="27"/>
  <c r="F45" i="27"/>
  <c r="E44" i="27"/>
  <c r="E41" i="27"/>
  <c r="C41" i="27"/>
  <c r="E40" i="27"/>
  <c r="F40" i="27" s="1"/>
  <c r="C38" i="27"/>
  <c r="F38" i="27" s="1"/>
  <c r="F37" i="27"/>
  <c r="F35" i="27"/>
  <c r="F34" i="27"/>
  <c r="F33" i="27"/>
  <c r="E30" i="27"/>
  <c r="F30" i="27" s="1"/>
  <c r="C30" i="27"/>
  <c r="E29" i="27"/>
  <c r="C29" i="27"/>
  <c r="F29" i="27" s="1"/>
  <c r="C27" i="27"/>
  <c r="E26" i="27"/>
  <c r="F26" i="27" s="1"/>
  <c r="C24" i="27"/>
  <c r="F24" i="27" s="1"/>
  <c r="C23" i="27"/>
  <c r="F23" i="27" s="1"/>
  <c r="E22" i="27"/>
  <c r="F22" i="27" s="1"/>
  <c r="E21" i="27"/>
  <c r="C21" i="27"/>
  <c r="F21" i="27" s="1"/>
  <c r="F20" i="27"/>
  <c r="E16" i="27"/>
  <c r="E28" i="27" s="1"/>
  <c r="F28" i="27" s="1"/>
  <c r="E15" i="27"/>
  <c r="E27" i="27" s="1"/>
  <c r="F27" i="27" s="1"/>
  <c r="F9" i="27"/>
  <c r="F8" i="27"/>
  <c r="C53" i="26"/>
  <c r="C54" i="26"/>
  <c r="C71" i="26"/>
  <c r="C14" i="26"/>
  <c r="C27" i="25"/>
  <c r="C27" i="24"/>
  <c r="C27" i="23"/>
  <c r="C27" i="22"/>
  <c r="C26" i="26"/>
  <c r="C27" i="26" s="1"/>
  <c r="C28" i="26" s="1"/>
  <c r="C40" i="26"/>
  <c r="C43" i="26"/>
  <c r="C33" i="26"/>
  <c r="F27" i="31" l="1"/>
  <c r="C7" i="29"/>
  <c r="C6" i="29" s="1"/>
  <c r="F6" i="29" s="1"/>
  <c r="C44" i="30"/>
  <c r="F21" i="31"/>
  <c r="F29" i="31"/>
  <c r="C7" i="26"/>
  <c r="F64" i="27"/>
  <c r="E77" i="27" s="1"/>
  <c r="F77" i="27" s="1"/>
  <c r="E43" i="31"/>
  <c r="F43" i="31" s="1"/>
  <c r="F29" i="28"/>
  <c r="F61" i="29"/>
  <c r="F81" i="4"/>
  <c r="F30" i="28"/>
  <c r="F30" i="29"/>
  <c r="F43" i="30"/>
  <c r="C6" i="32"/>
  <c r="F6" i="32" s="1"/>
  <c r="F15" i="32"/>
  <c r="C16" i="32"/>
  <c r="F27" i="30"/>
  <c r="F61" i="30"/>
  <c r="E72" i="29"/>
  <c r="F72" i="29" s="1"/>
  <c r="F68" i="29" s="1"/>
  <c r="E79" i="29" s="1"/>
  <c r="F79" i="29" s="1"/>
  <c r="F64" i="29"/>
  <c r="E77" i="29" s="1"/>
  <c r="F77" i="29" s="1"/>
  <c r="F44" i="28"/>
  <c r="F15" i="28"/>
  <c r="C59" i="28"/>
  <c r="F59" i="28" s="1"/>
  <c r="F46" i="28" s="1"/>
  <c r="C7" i="28"/>
  <c r="C6" i="28" s="1"/>
  <c r="F6" i="28" s="1"/>
  <c r="F61" i="28"/>
  <c r="F44" i="27"/>
  <c r="F14" i="27"/>
  <c r="F41" i="27"/>
  <c r="E43" i="27"/>
  <c r="F43" i="27" s="1"/>
  <c r="F61" i="27"/>
  <c r="C59" i="27"/>
  <c r="F59" i="27" s="1"/>
  <c r="C7" i="27"/>
  <c r="F7" i="27" s="1"/>
  <c r="F64" i="31"/>
  <c r="E77" i="31" s="1"/>
  <c r="F77" i="31" s="1"/>
  <c r="E72" i="31"/>
  <c r="F72" i="31" s="1"/>
  <c r="F68" i="31" s="1"/>
  <c r="E79" i="31" s="1"/>
  <c r="F79" i="31" s="1"/>
  <c r="F7" i="31"/>
  <c r="C6" i="31"/>
  <c r="F6" i="31" s="1"/>
  <c r="F33" i="31"/>
  <c r="F35" i="31"/>
  <c r="F35" i="4" s="1"/>
  <c r="F46" i="31"/>
  <c r="C15" i="31"/>
  <c r="F44" i="30"/>
  <c r="F64" i="30"/>
  <c r="E77" i="30" s="1"/>
  <c r="F77" i="30" s="1"/>
  <c r="E72" i="30"/>
  <c r="F72" i="30" s="1"/>
  <c r="F68" i="30" s="1"/>
  <c r="E79" i="30" s="1"/>
  <c r="F79" i="30" s="1"/>
  <c r="F7" i="30"/>
  <c r="C6" i="30"/>
  <c r="F6" i="30" s="1"/>
  <c r="F15" i="30"/>
  <c r="C16" i="30"/>
  <c r="C59" i="30"/>
  <c r="F59" i="30" s="1"/>
  <c r="F46" i="30" s="1"/>
  <c r="E78" i="30"/>
  <c r="F78" i="30" s="1"/>
  <c r="F14" i="30"/>
  <c r="F33" i="30"/>
  <c r="F31" i="30" s="1"/>
  <c r="F43" i="29"/>
  <c r="F44" i="29"/>
  <c r="C18" i="29"/>
  <c r="F18" i="29" s="1"/>
  <c r="F16" i="29"/>
  <c r="C17" i="29"/>
  <c r="F17" i="29" s="1"/>
  <c r="F7" i="29"/>
  <c r="F15" i="29"/>
  <c r="F40" i="29"/>
  <c r="C59" i="29"/>
  <c r="F59" i="29" s="1"/>
  <c r="F46" i="29" s="1"/>
  <c r="C16" i="28"/>
  <c r="C17" i="28" s="1"/>
  <c r="F27" i="28"/>
  <c r="F64" i="28"/>
  <c r="E77" i="28" s="1"/>
  <c r="F77" i="28" s="1"/>
  <c r="F40" i="28"/>
  <c r="F31" i="28" s="1"/>
  <c r="C6" i="27"/>
  <c r="F6" i="27" s="1"/>
  <c r="E72" i="27"/>
  <c r="F72" i="27" s="1"/>
  <c r="F68" i="27" s="1"/>
  <c r="E79" i="27" s="1"/>
  <c r="F79" i="27" s="1"/>
  <c r="F46" i="27"/>
  <c r="C17" i="27"/>
  <c r="F17" i="27" s="1"/>
  <c r="F16" i="27"/>
  <c r="C18" i="27"/>
  <c r="F18" i="27" s="1"/>
  <c r="F15" i="27"/>
  <c r="F80" i="26"/>
  <c r="F75" i="26"/>
  <c r="F74" i="26"/>
  <c r="F71" i="26"/>
  <c r="F70" i="26"/>
  <c r="F69" i="26"/>
  <c r="C67" i="26"/>
  <c r="F67" i="26" s="1"/>
  <c r="F66" i="26"/>
  <c r="F65" i="26"/>
  <c r="F63" i="26"/>
  <c r="F62" i="26"/>
  <c r="E78" i="26" s="1"/>
  <c r="F78" i="26" s="1"/>
  <c r="F60" i="26"/>
  <c r="C59" i="26"/>
  <c r="F59" i="26" s="1"/>
  <c r="F56" i="26"/>
  <c r="F55" i="26"/>
  <c r="F54" i="26"/>
  <c r="F53" i="26"/>
  <c r="F51" i="26"/>
  <c r="F50" i="26"/>
  <c r="F48" i="26"/>
  <c r="F47" i="26"/>
  <c r="F45" i="26"/>
  <c r="E44" i="26"/>
  <c r="C44" i="26"/>
  <c r="E41" i="26"/>
  <c r="C41" i="26"/>
  <c r="F40" i="26"/>
  <c r="E40" i="26"/>
  <c r="E43" i="26" s="1"/>
  <c r="F43" i="26" s="1"/>
  <c r="C38" i="26"/>
  <c r="F38" i="26" s="1"/>
  <c r="F37" i="26"/>
  <c r="F35" i="26"/>
  <c r="F34" i="26"/>
  <c r="F33" i="26"/>
  <c r="E30" i="26"/>
  <c r="C30" i="26"/>
  <c r="E29" i="26"/>
  <c r="C29" i="26"/>
  <c r="F29" i="26" s="1"/>
  <c r="E26" i="26"/>
  <c r="F26" i="26" s="1"/>
  <c r="E22" i="26"/>
  <c r="E21" i="26"/>
  <c r="C21" i="26"/>
  <c r="F20" i="26"/>
  <c r="E16" i="26"/>
  <c r="E28" i="26" s="1"/>
  <c r="F28" i="26" s="1"/>
  <c r="E15" i="26"/>
  <c r="E27" i="26" s="1"/>
  <c r="F27" i="26" s="1"/>
  <c r="C15" i="26"/>
  <c r="C16" i="26" s="1"/>
  <c r="F14" i="26"/>
  <c r="F9" i="26"/>
  <c r="F8" i="26"/>
  <c r="F8" i="25"/>
  <c r="F8" i="24"/>
  <c r="F8" i="23"/>
  <c r="F8" i="22"/>
  <c r="F8" i="21"/>
  <c r="F8" i="20"/>
  <c r="F8" i="19"/>
  <c r="F8" i="18"/>
  <c r="C71" i="25"/>
  <c r="C67" i="25"/>
  <c r="F67" i="25" s="1"/>
  <c r="C14" i="25"/>
  <c r="C15" i="25" s="1"/>
  <c r="C43" i="25"/>
  <c r="C44" i="25" s="1"/>
  <c r="C33" i="25"/>
  <c r="C7" i="25" s="1"/>
  <c r="F80" i="25"/>
  <c r="F75" i="25"/>
  <c r="F74" i="25"/>
  <c r="F71" i="25"/>
  <c r="F70" i="25"/>
  <c r="F69" i="25"/>
  <c r="F66" i="25"/>
  <c r="F65" i="25"/>
  <c r="F63" i="25"/>
  <c r="F62" i="25"/>
  <c r="E78" i="25" s="1"/>
  <c r="F78" i="25" s="1"/>
  <c r="F60" i="25"/>
  <c r="F56" i="25"/>
  <c r="F55" i="25"/>
  <c r="F54" i="25"/>
  <c r="F53" i="25"/>
  <c r="F51" i="25"/>
  <c r="F50" i="25"/>
  <c r="F48" i="25"/>
  <c r="F47" i="25"/>
  <c r="F45" i="25"/>
  <c r="E44" i="25"/>
  <c r="E41" i="25"/>
  <c r="C41" i="25"/>
  <c r="E40" i="25"/>
  <c r="E43" i="25" s="1"/>
  <c r="F43" i="25" s="1"/>
  <c r="C38" i="25"/>
  <c r="F38" i="25" s="1"/>
  <c r="F37" i="25"/>
  <c r="F35" i="25"/>
  <c r="F34" i="25"/>
  <c r="E30" i="25"/>
  <c r="C30" i="25"/>
  <c r="E29" i="25"/>
  <c r="C29" i="25"/>
  <c r="E26" i="25"/>
  <c r="F26" i="25" s="1"/>
  <c r="C24" i="25"/>
  <c r="F24" i="25" s="1"/>
  <c r="C23" i="25"/>
  <c r="F23" i="25" s="1"/>
  <c r="E22" i="25"/>
  <c r="F22" i="25" s="1"/>
  <c r="E21" i="25"/>
  <c r="C21" i="25"/>
  <c r="F20" i="25"/>
  <c r="E16" i="25"/>
  <c r="E28" i="25" s="1"/>
  <c r="F28" i="25" s="1"/>
  <c r="E15" i="25"/>
  <c r="E27" i="25" s="1"/>
  <c r="F27" i="25" s="1"/>
  <c r="F9" i="25"/>
  <c r="C56" i="24"/>
  <c r="C67" i="24"/>
  <c r="C14" i="24"/>
  <c r="F14" i="24" s="1"/>
  <c r="C43" i="24"/>
  <c r="F80" i="24"/>
  <c r="F75" i="24"/>
  <c r="F74" i="24"/>
  <c r="F71" i="24"/>
  <c r="F70" i="24"/>
  <c r="F69" i="24"/>
  <c r="F67" i="24"/>
  <c r="F66" i="24"/>
  <c r="F65" i="24"/>
  <c r="F63" i="24"/>
  <c r="F62" i="24"/>
  <c r="F60" i="24"/>
  <c r="F56" i="24"/>
  <c r="F55" i="24"/>
  <c r="F54" i="24"/>
  <c r="F53" i="24"/>
  <c r="F51" i="24"/>
  <c r="F50" i="24"/>
  <c r="F48" i="24"/>
  <c r="F47" i="24"/>
  <c r="F45" i="24"/>
  <c r="E44" i="24"/>
  <c r="E41" i="24"/>
  <c r="E40" i="24"/>
  <c r="E43" i="24" s="1"/>
  <c r="F43" i="24" s="1"/>
  <c r="C41" i="24"/>
  <c r="C38" i="24"/>
  <c r="F38" i="24" s="1"/>
  <c r="F37" i="24"/>
  <c r="F35" i="24"/>
  <c r="F34" i="24"/>
  <c r="F33" i="24"/>
  <c r="E30" i="24"/>
  <c r="C30" i="24"/>
  <c r="E29" i="24"/>
  <c r="C29" i="24"/>
  <c r="E26" i="24"/>
  <c r="F26" i="24" s="1"/>
  <c r="E22" i="24"/>
  <c r="E21" i="24"/>
  <c r="F20" i="24"/>
  <c r="C21" i="24"/>
  <c r="E16" i="24"/>
  <c r="E28" i="24" s="1"/>
  <c r="F28" i="24" s="1"/>
  <c r="E15" i="24"/>
  <c r="E27" i="24" s="1"/>
  <c r="F27" i="24" s="1"/>
  <c r="C15" i="24"/>
  <c r="F15" i="24" s="1"/>
  <c r="F9" i="24"/>
  <c r="C67" i="23"/>
  <c r="F67" i="23" s="1"/>
  <c r="F56" i="22"/>
  <c r="F51" i="21"/>
  <c r="F56" i="21"/>
  <c r="F51" i="20"/>
  <c r="F56" i="20"/>
  <c r="F51" i="19"/>
  <c r="F56" i="19"/>
  <c r="F51" i="18"/>
  <c r="F56" i="18"/>
  <c r="F51" i="23"/>
  <c r="F56" i="23"/>
  <c r="F51" i="22"/>
  <c r="E22" i="18"/>
  <c r="E21" i="18"/>
  <c r="E22" i="19"/>
  <c r="E21" i="19"/>
  <c r="E22" i="20"/>
  <c r="F22" i="20" s="1"/>
  <c r="E21" i="20"/>
  <c r="E22" i="21"/>
  <c r="E21" i="21"/>
  <c r="F21" i="21" s="1"/>
  <c r="E22" i="22"/>
  <c r="E21" i="22"/>
  <c r="E22" i="23"/>
  <c r="E21" i="23"/>
  <c r="C20" i="23"/>
  <c r="C21" i="23" s="1"/>
  <c r="C71" i="23"/>
  <c r="F71" i="23" s="1"/>
  <c r="C23" i="18"/>
  <c r="C21" i="22"/>
  <c r="F20" i="22"/>
  <c r="C21" i="21"/>
  <c r="F20" i="21"/>
  <c r="C23" i="20"/>
  <c r="F23" i="20" s="1"/>
  <c r="C21" i="20"/>
  <c r="F21" i="20" s="1"/>
  <c r="F20" i="20"/>
  <c r="C21" i="19"/>
  <c r="F21" i="19" s="1"/>
  <c r="F20" i="19"/>
  <c r="C21" i="18"/>
  <c r="C43" i="23"/>
  <c r="C44" i="23" s="1"/>
  <c r="C40" i="23"/>
  <c r="C41" i="23" s="1"/>
  <c r="C35" i="23"/>
  <c r="F35" i="23" s="1"/>
  <c r="C33" i="23"/>
  <c r="F80" i="23"/>
  <c r="F75" i="23"/>
  <c r="F74" i="23"/>
  <c r="F70" i="23"/>
  <c r="F69" i="23"/>
  <c r="F66" i="23"/>
  <c r="F65" i="23"/>
  <c r="F63" i="23"/>
  <c r="F62" i="23"/>
  <c r="E78" i="23" s="1"/>
  <c r="F78" i="23" s="1"/>
  <c r="F60" i="23"/>
  <c r="F55" i="23"/>
  <c r="F54" i="23"/>
  <c r="F53" i="23"/>
  <c r="F50" i="23"/>
  <c r="F48" i="23"/>
  <c r="F47" i="23"/>
  <c r="F45" i="23"/>
  <c r="E44" i="23"/>
  <c r="E41" i="23"/>
  <c r="E40" i="23"/>
  <c r="E43" i="23" s="1"/>
  <c r="C38" i="23"/>
  <c r="F38" i="23" s="1"/>
  <c r="F34" i="23"/>
  <c r="F33" i="23"/>
  <c r="E30" i="23"/>
  <c r="C30" i="23"/>
  <c r="E29" i="23"/>
  <c r="C29" i="23"/>
  <c r="E26" i="23"/>
  <c r="F26" i="23" s="1"/>
  <c r="E16" i="23"/>
  <c r="E28" i="23" s="1"/>
  <c r="F28" i="23" s="1"/>
  <c r="E15" i="23"/>
  <c r="E27" i="23" s="1"/>
  <c r="F27" i="23" s="1"/>
  <c r="C15" i="23"/>
  <c r="F14" i="23"/>
  <c r="F9" i="23"/>
  <c r="F80" i="4"/>
  <c r="C67" i="22"/>
  <c r="F67" i="22" s="1"/>
  <c r="C38" i="22"/>
  <c r="F38" i="22" s="1"/>
  <c r="C35" i="22"/>
  <c r="F35" i="22" s="1"/>
  <c r="C33" i="22"/>
  <c r="C43" i="22"/>
  <c r="C44" i="22" s="1"/>
  <c r="F63" i="21"/>
  <c r="F62" i="21"/>
  <c r="E78" i="21" s="1"/>
  <c r="F78" i="21" s="1"/>
  <c r="F63" i="20"/>
  <c r="F62" i="20"/>
  <c r="E78" i="20" s="1"/>
  <c r="F78" i="20" s="1"/>
  <c r="F63" i="19"/>
  <c r="F62" i="19"/>
  <c r="E78" i="19" s="1"/>
  <c r="F78" i="19" s="1"/>
  <c r="F63" i="18"/>
  <c r="F62" i="18"/>
  <c r="E78" i="18" s="1"/>
  <c r="F78" i="18" s="1"/>
  <c r="F63" i="22"/>
  <c r="F62" i="22"/>
  <c r="E78" i="22" s="1"/>
  <c r="F78" i="22" s="1"/>
  <c r="F80" i="22"/>
  <c r="F75" i="22"/>
  <c r="F74" i="22"/>
  <c r="F71" i="22"/>
  <c r="F70" i="22"/>
  <c r="F69" i="22"/>
  <c r="F66" i="22"/>
  <c r="F65" i="22"/>
  <c r="F60" i="22"/>
  <c r="F55" i="22"/>
  <c r="F54" i="22"/>
  <c r="F53" i="22"/>
  <c r="F50" i="22"/>
  <c r="F48" i="22"/>
  <c r="F47" i="22"/>
  <c r="F45" i="22"/>
  <c r="E44" i="22"/>
  <c r="E41" i="22"/>
  <c r="E40" i="22"/>
  <c r="F40" i="22" s="1"/>
  <c r="C41" i="22"/>
  <c r="F34" i="22"/>
  <c r="F33" i="22"/>
  <c r="E30" i="22"/>
  <c r="C30" i="22"/>
  <c r="E29" i="22"/>
  <c r="C29" i="22"/>
  <c r="E26" i="22"/>
  <c r="F26" i="22" s="1"/>
  <c r="E16" i="22"/>
  <c r="E28" i="22" s="1"/>
  <c r="F28" i="22" s="1"/>
  <c r="E15" i="22"/>
  <c r="E27" i="22" s="1"/>
  <c r="F27" i="22" s="1"/>
  <c r="C15" i="22"/>
  <c r="F14" i="22"/>
  <c r="F9" i="22"/>
  <c r="F71" i="20"/>
  <c r="F70" i="20"/>
  <c r="F69" i="20"/>
  <c r="F71" i="19"/>
  <c r="F70" i="19"/>
  <c r="F69" i="19"/>
  <c r="F71" i="18"/>
  <c r="F71" i="4" s="1"/>
  <c r="F70" i="18"/>
  <c r="F70" i="4" s="1"/>
  <c r="F69" i="18"/>
  <c r="C40" i="21"/>
  <c r="C41" i="21" s="1"/>
  <c r="C67" i="21"/>
  <c r="F67" i="21" s="1"/>
  <c r="F71" i="21"/>
  <c r="F70" i="21"/>
  <c r="F69" i="21"/>
  <c r="C14" i="21"/>
  <c r="C15" i="21" s="1"/>
  <c r="C37" i="20"/>
  <c r="C38" i="20" s="1"/>
  <c r="F38" i="20" s="1"/>
  <c r="C37" i="21"/>
  <c r="C38" i="21" s="1"/>
  <c r="F38" i="21" s="1"/>
  <c r="C37" i="18"/>
  <c r="F37" i="18" s="1"/>
  <c r="C41" i="20"/>
  <c r="C33" i="21"/>
  <c r="C35" i="21"/>
  <c r="F35" i="21" s="1"/>
  <c r="C43" i="21"/>
  <c r="C44" i="21" s="1"/>
  <c r="F80" i="21"/>
  <c r="F75" i="21"/>
  <c r="F74" i="21"/>
  <c r="F66" i="21"/>
  <c r="F65" i="21"/>
  <c r="F60" i="21"/>
  <c r="F55" i="21"/>
  <c r="F54" i="21"/>
  <c r="F53" i="21"/>
  <c r="F50" i="21"/>
  <c r="F48" i="21"/>
  <c r="F47" i="21"/>
  <c r="F45" i="21"/>
  <c r="E44" i="21"/>
  <c r="E41" i="21"/>
  <c r="E40" i="21"/>
  <c r="E43" i="21" s="1"/>
  <c r="F34" i="21"/>
  <c r="E30" i="21"/>
  <c r="C30" i="21"/>
  <c r="E29" i="21"/>
  <c r="C29" i="21"/>
  <c r="E26" i="21"/>
  <c r="F26" i="21" s="1"/>
  <c r="E16" i="21"/>
  <c r="E28" i="21" s="1"/>
  <c r="F28" i="21" s="1"/>
  <c r="E15" i="21"/>
  <c r="E27" i="21" s="1"/>
  <c r="F27" i="21" s="1"/>
  <c r="F9" i="21"/>
  <c r="C67" i="20"/>
  <c r="F67" i="20" s="1"/>
  <c r="C14" i="20"/>
  <c r="C15" i="20" s="1"/>
  <c r="C43" i="20"/>
  <c r="C44" i="20" s="1"/>
  <c r="C35" i="20"/>
  <c r="C33" i="20"/>
  <c r="C35" i="19"/>
  <c r="F35" i="19" s="1"/>
  <c r="F80" i="20"/>
  <c r="F75" i="20"/>
  <c r="F74" i="20"/>
  <c r="F66" i="20"/>
  <c r="F65" i="20"/>
  <c r="F60" i="20"/>
  <c r="F55" i="20"/>
  <c r="F54" i="20"/>
  <c r="F53" i="20"/>
  <c r="F50" i="20"/>
  <c r="F48" i="20"/>
  <c r="F47" i="20"/>
  <c r="F45" i="20"/>
  <c r="E44" i="20"/>
  <c r="E41" i="20"/>
  <c r="E40" i="20"/>
  <c r="F40" i="20" s="1"/>
  <c r="F35" i="20"/>
  <c r="F34" i="20"/>
  <c r="E30" i="20"/>
  <c r="C30" i="20"/>
  <c r="E29" i="20"/>
  <c r="C29" i="20"/>
  <c r="E26" i="20"/>
  <c r="F26" i="20" s="1"/>
  <c r="E16" i="20"/>
  <c r="E28" i="20" s="1"/>
  <c r="F28" i="20" s="1"/>
  <c r="E15" i="20"/>
  <c r="E27" i="20" s="1"/>
  <c r="F27" i="20" s="1"/>
  <c r="F9" i="20"/>
  <c r="C67" i="19"/>
  <c r="F67" i="19" s="1"/>
  <c r="C14" i="19"/>
  <c r="C15" i="19" s="1"/>
  <c r="C37" i="19"/>
  <c r="C38" i="19" s="1"/>
  <c r="F38" i="19" s="1"/>
  <c r="C43" i="19"/>
  <c r="C44" i="19" s="1"/>
  <c r="C40" i="19"/>
  <c r="C41" i="19" s="1"/>
  <c r="C33" i="19"/>
  <c r="F80" i="19"/>
  <c r="F75" i="19"/>
  <c r="F74" i="19"/>
  <c r="F66" i="19"/>
  <c r="F65" i="19"/>
  <c r="F60" i="19"/>
  <c r="F55" i="19"/>
  <c r="F54" i="19"/>
  <c r="F53" i="19"/>
  <c r="F50" i="19"/>
  <c r="F48" i="19"/>
  <c r="F47" i="19"/>
  <c r="F45" i="19"/>
  <c r="E44" i="19"/>
  <c r="F44" i="19" s="1"/>
  <c r="E41" i="19"/>
  <c r="E40" i="19"/>
  <c r="E43" i="19" s="1"/>
  <c r="F34" i="19"/>
  <c r="E30" i="19"/>
  <c r="C30" i="19"/>
  <c r="E29" i="19"/>
  <c r="C29" i="19"/>
  <c r="E26" i="19"/>
  <c r="F26" i="19" s="1"/>
  <c r="E16" i="19"/>
  <c r="E28" i="19" s="1"/>
  <c r="F28" i="19" s="1"/>
  <c r="E15" i="19"/>
  <c r="E27" i="19" s="1"/>
  <c r="F27" i="19" s="1"/>
  <c r="F9" i="19"/>
  <c r="F9" i="18"/>
  <c r="F9" i="4" s="1"/>
  <c r="F80" i="18"/>
  <c r="F75" i="18"/>
  <c r="F74" i="18"/>
  <c r="C67" i="18"/>
  <c r="F67" i="18" s="1"/>
  <c r="F67" i="4" s="1"/>
  <c r="C66" i="18"/>
  <c r="F66" i="18" s="1"/>
  <c r="F65" i="18"/>
  <c r="F61" i="18"/>
  <c r="F60" i="18"/>
  <c r="F55" i="18"/>
  <c r="F54" i="18"/>
  <c r="F54" i="4" s="1"/>
  <c r="F53" i="18"/>
  <c r="F50" i="18"/>
  <c r="F48" i="18"/>
  <c r="F48" i="4" s="1"/>
  <c r="F47" i="18"/>
  <c r="F47" i="4" s="1"/>
  <c r="F45" i="18"/>
  <c r="F45" i="4" s="1"/>
  <c r="E44" i="18"/>
  <c r="C43" i="18"/>
  <c r="C44" i="18" s="1"/>
  <c r="E41" i="18"/>
  <c r="F41" i="18" s="1"/>
  <c r="E40" i="18"/>
  <c r="E43" i="18" s="1"/>
  <c r="F43" i="18" s="1"/>
  <c r="C35" i="18"/>
  <c r="F35" i="18" s="1"/>
  <c r="F34" i="18"/>
  <c r="C33" i="18"/>
  <c r="E30" i="18"/>
  <c r="C30" i="18"/>
  <c r="E29" i="18"/>
  <c r="C29" i="18"/>
  <c r="E26" i="18"/>
  <c r="F26" i="18" s="1"/>
  <c r="E16" i="18"/>
  <c r="E28" i="18" s="1"/>
  <c r="F28" i="18" s="1"/>
  <c r="E15" i="18"/>
  <c r="E27" i="18" s="1"/>
  <c r="F27" i="18" s="1"/>
  <c r="C14" i="18"/>
  <c r="F14" i="18" s="1"/>
  <c r="F31" i="31" l="1"/>
  <c r="F65" i="4"/>
  <c r="F66" i="4"/>
  <c r="F56" i="4"/>
  <c r="E72" i="26"/>
  <c r="F72" i="26" s="1"/>
  <c r="F68" i="26" s="1"/>
  <c r="E79" i="26" s="1"/>
  <c r="F79" i="26" s="1"/>
  <c r="F26" i="4"/>
  <c r="F62" i="4"/>
  <c r="F51" i="4"/>
  <c r="F50" i="4"/>
  <c r="F40" i="18"/>
  <c r="F53" i="4"/>
  <c r="F63" i="4"/>
  <c r="F41" i="23"/>
  <c r="F14" i="25"/>
  <c r="F28" i="4"/>
  <c r="F55" i="4"/>
  <c r="F75" i="4"/>
  <c r="F38" i="4"/>
  <c r="F61" i="25"/>
  <c r="F8" i="4"/>
  <c r="F27" i="4"/>
  <c r="F74" i="4"/>
  <c r="F60" i="4"/>
  <c r="F69" i="4"/>
  <c r="F30" i="24"/>
  <c r="C17" i="32"/>
  <c r="F17" i="32" s="1"/>
  <c r="F16" i="32"/>
  <c r="C18" i="32"/>
  <c r="F18" i="32" s="1"/>
  <c r="F31" i="29"/>
  <c r="C10" i="29"/>
  <c r="F7" i="28"/>
  <c r="F31" i="27"/>
  <c r="E76" i="27"/>
  <c r="F64" i="26"/>
  <c r="E77" i="26" s="1"/>
  <c r="F77" i="26" s="1"/>
  <c r="F30" i="26"/>
  <c r="F61" i="26"/>
  <c r="E72" i="25"/>
  <c r="F72" i="25" s="1"/>
  <c r="F68" i="25" s="1"/>
  <c r="E79" i="25" s="1"/>
  <c r="F79" i="25" s="1"/>
  <c r="F29" i="25"/>
  <c r="F64" i="24"/>
  <c r="E77" i="24" s="1"/>
  <c r="F77" i="24" s="1"/>
  <c r="C44" i="24"/>
  <c r="C7" i="24"/>
  <c r="C22" i="23"/>
  <c r="C59" i="23"/>
  <c r="F59" i="23" s="1"/>
  <c r="C7" i="23"/>
  <c r="C59" i="22"/>
  <c r="F59" i="22" s="1"/>
  <c r="C7" i="22"/>
  <c r="C6" i="22" s="1"/>
  <c r="F6" i="22" s="1"/>
  <c r="C7" i="21"/>
  <c r="C59" i="20"/>
  <c r="F59" i="20" s="1"/>
  <c r="C7" i="20"/>
  <c r="F7" i="20" s="1"/>
  <c r="F33" i="19"/>
  <c r="C7" i="19"/>
  <c r="F30" i="18"/>
  <c r="C7" i="18"/>
  <c r="C6" i="18" s="1"/>
  <c r="F6" i="18" s="1"/>
  <c r="F29" i="18"/>
  <c r="C16" i="31"/>
  <c r="F15" i="31"/>
  <c r="F16" i="30"/>
  <c r="C17" i="30"/>
  <c r="F17" i="30" s="1"/>
  <c r="C18" i="30"/>
  <c r="F18" i="30" s="1"/>
  <c r="C11" i="30"/>
  <c r="F11" i="30" s="1"/>
  <c r="F12" i="29"/>
  <c r="E76" i="29" s="1"/>
  <c r="F76" i="29" s="1"/>
  <c r="F73" i="29" s="1"/>
  <c r="C11" i="29"/>
  <c r="F11" i="29" s="1"/>
  <c r="F10" i="29"/>
  <c r="C18" i="28"/>
  <c r="F18" i="28" s="1"/>
  <c r="F16" i="28"/>
  <c r="F17" i="28"/>
  <c r="C11" i="28"/>
  <c r="F11" i="28" s="1"/>
  <c r="C10" i="28"/>
  <c r="F10" i="28" s="1"/>
  <c r="F12" i="27"/>
  <c r="C11" i="27"/>
  <c r="F11" i="27" s="1"/>
  <c r="C10" i="27"/>
  <c r="F10" i="27" s="1"/>
  <c r="F76" i="27"/>
  <c r="F73" i="27" s="1"/>
  <c r="F21" i="25"/>
  <c r="F21" i="26"/>
  <c r="F41" i="26"/>
  <c r="F44" i="26"/>
  <c r="C17" i="26"/>
  <c r="F17" i="26" s="1"/>
  <c r="F16" i="26"/>
  <c r="C18" i="26"/>
  <c r="F18" i="26" s="1"/>
  <c r="F46" i="26"/>
  <c r="F15" i="26"/>
  <c r="F33" i="25"/>
  <c r="C16" i="25"/>
  <c r="C18" i="25" s="1"/>
  <c r="F18" i="25" s="1"/>
  <c r="C59" i="25"/>
  <c r="F59" i="25" s="1"/>
  <c r="F46" i="25" s="1"/>
  <c r="F41" i="25"/>
  <c r="F30" i="25"/>
  <c r="F40" i="25"/>
  <c r="F29" i="24"/>
  <c r="F61" i="24"/>
  <c r="C16" i="24"/>
  <c r="F30" i="22"/>
  <c r="F61" i="19"/>
  <c r="C17" i="25"/>
  <c r="F17" i="25" s="1"/>
  <c r="F44" i="25"/>
  <c r="F64" i="25"/>
  <c r="E77" i="25" s="1"/>
  <c r="F77" i="25" s="1"/>
  <c r="F15" i="25"/>
  <c r="F41" i="24"/>
  <c r="F44" i="24"/>
  <c r="F21" i="24"/>
  <c r="F40" i="24"/>
  <c r="C59" i="24"/>
  <c r="F59" i="24" s="1"/>
  <c r="F46" i="24" s="1"/>
  <c r="E72" i="24"/>
  <c r="F72" i="24" s="1"/>
  <c r="F68" i="24" s="1"/>
  <c r="E79" i="24" s="1"/>
  <c r="F79" i="24" s="1"/>
  <c r="E78" i="24"/>
  <c r="F78" i="24" s="1"/>
  <c r="F78" i="4" s="1"/>
  <c r="F21" i="22"/>
  <c r="E72" i="21"/>
  <c r="F72" i="21" s="1"/>
  <c r="F68" i="21" s="1"/>
  <c r="E79" i="21" s="1"/>
  <c r="F79" i="21" s="1"/>
  <c r="C16" i="19"/>
  <c r="F16" i="19" s="1"/>
  <c r="C59" i="19"/>
  <c r="F59" i="19" s="1"/>
  <c r="F46" i="19" s="1"/>
  <c r="F61" i="4"/>
  <c r="C16" i="22"/>
  <c r="F16" i="22" s="1"/>
  <c r="F61" i="21"/>
  <c r="F29" i="20"/>
  <c r="F30" i="20"/>
  <c r="F37" i="20"/>
  <c r="F29" i="19"/>
  <c r="C38" i="18"/>
  <c r="F38" i="18" s="1"/>
  <c r="C59" i="18"/>
  <c r="F59" i="18" s="1"/>
  <c r="F44" i="18"/>
  <c r="F61" i="23"/>
  <c r="F20" i="23"/>
  <c r="F21" i="23"/>
  <c r="E72" i="23"/>
  <c r="F72" i="23" s="1"/>
  <c r="F68" i="23" s="1"/>
  <c r="E79" i="23" s="1"/>
  <c r="F79" i="23" s="1"/>
  <c r="F29" i="23"/>
  <c r="F30" i="23"/>
  <c r="F64" i="23"/>
  <c r="E77" i="23" s="1"/>
  <c r="F77" i="23" s="1"/>
  <c r="F22" i="22"/>
  <c r="C24" i="22"/>
  <c r="F24" i="22" s="1"/>
  <c r="C23" i="22"/>
  <c r="F23" i="22" s="1"/>
  <c r="F44" i="22"/>
  <c r="F29" i="22"/>
  <c r="E43" i="22"/>
  <c r="F43" i="22" s="1"/>
  <c r="F61" i="22"/>
  <c r="F22" i="21"/>
  <c r="C24" i="21"/>
  <c r="F24" i="21" s="1"/>
  <c r="C23" i="21"/>
  <c r="F23" i="21" s="1"/>
  <c r="F14" i="21"/>
  <c r="C59" i="21"/>
  <c r="F59" i="21" s="1"/>
  <c r="F46" i="21" s="1"/>
  <c r="E43" i="20"/>
  <c r="F43" i="20" s="1"/>
  <c r="E72" i="20"/>
  <c r="F72" i="20" s="1"/>
  <c r="F68" i="20" s="1"/>
  <c r="E79" i="20" s="1"/>
  <c r="F79" i="20" s="1"/>
  <c r="C24" i="20"/>
  <c r="F24" i="20" s="1"/>
  <c r="C6" i="20"/>
  <c r="F6" i="20" s="1"/>
  <c r="F61" i="20"/>
  <c r="F22" i="19"/>
  <c r="C24" i="19"/>
  <c r="F24" i="19" s="1"/>
  <c r="C23" i="19"/>
  <c r="F23" i="19" s="1"/>
  <c r="C6" i="19"/>
  <c r="F6" i="19" s="1"/>
  <c r="F14" i="19"/>
  <c r="F14" i="4" s="1"/>
  <c r="F30" i="19"/>
  <c r="E72" i="19"/>
  <c r="F72" i="19" s="1"/>
  <c r="F68" i="19" s="1"/>
  <c r="E79" i="19" s="1"/>
  <c r="F79" i="19" s="1"/>
  <c r="F21" i="18"/>
  <c r="F20" i="18"/>
  <c r="F20" i="4" s="1"/>
  <c r="F44" i="23"/>
  <c r="F43" i="23"/>
  <c r="C18" i="23"/>
  <c r="F18" i="23" s="1"/>
  <c r="F46" i="23"/>
  <c r="F37" i="23"/>
  <c r="F40" i="23"/>
  <c r="F15" i="23"/>
  <c r="F64" i="22"/>
  <c r="E77" i="22" s="1"/>
  <c r="F77" i="22" s="1"/>
  <c r="F41" i="22"/>
  <c r="E72" i="22"/>
  <c r="F72" i="22" s="1"/>
  <c r="F68" i="22" s="1"/>
  <c r="E79" i="22" s="1"/>
  <c r="F79" i="22" s="1"/>
  <c r="F46" i="22"/>
  <c r="F37" i="22"/>
  <c r="F15" i="22"/>
  <c r="E72" i="18"/>
  <c r="F33" i="21"/>
  <c r="F30" i="21"/>
  <c r="C16" i="21"/>
  <c r="F29" i="21"/>
  <c r="F64" i="21"/>
  <c r="E77" i="21" s="1"/>
  <c r="F77" i="21" s="1"/>
  <c r="F41" i="21"/>
  <c r="F43" i="21"/>
  <c r="F44" i="21"/>
  <c r="F37" i="21"/>
  <c r="F40" i="21"/>
  <c r="F15" i="21"/>
  <c r="F64" i="20"/>
  <c r="E77" i="20" s="1"/>
  <c r="F77" i="20" s="1"/>
  <c r="F44" i="20"/>
  <c r="F41" i="20"/>
  <c r="F15" i="20"/>
  <c r="C16" i="20"/>
  <c r="F46" i="20"/>
  <c r="F14" i="20"/>
  <c r="F33" i="20"/>
  <c r="F64" i="19"/>
  <c r="E77" i="19" s="1"/>
  <c r="F77" i="19" s="1"/>
  <c r="F41" i="19"/>
  <c r="F41" i="4" s="1"/>
  <c r="F40" i="19"/>
  <c r="C17" i="19"/>
  <c r="F17" i="19" s="1"/>
  <c r="C18" i="19"/>
  <c r="F18" i="19" s="1"/>
  <c r="F37" i="19"/>
  <c r="F43" i="19"/>
  <c r="F43" i="4" s="1"/>
  <c r="F15" i="19"/>
  <c r="F64" i="18"/>
  <c r="E77" i="18" s="1"/>
  <c r="F77" i="18" s="1"/>
  <c r="F7" i="18"/>
  <c r="C15" i="18"/>
  <c r="F33" i="18"/>
  <c r="F21" i="4" l="1"/>
  <c r="F44" i="4"/>
  <c r="F77" i="4"/>
  <c r="F29" i="4"/>
  <c r="F40" i="4"/>
  <c r="F46" i="18"/>
  <c r="F59" i="4"/>
  <c r="F46" i="4" s="1"/>
  <c r="F7" i="22"/>
  <c r="F31" i="26"/>
  <c r="F30" i="4"/>
  <c r="C11" i="32"/>
  <c r="F11" i="32" s="1"/>
  <c r="F37" i="4"/>
  <c r="F31" i="18"/>
  <c r="F33" i="4"/>
  <c r="C10" i="32"/>
  <c r="F10" i="32" s="1"/>
  <c r="F5" i="32"/>
  <c r="F12" i="32"/>
  <c r="E76" i="32" s="1"/>
  <c r="F76" i="32" s="1"/>
  <c r="F73" i="32" s="1"/>
  <c r="F84" i="32" s="1"/>
  <c r="F5" i="29"/>
  <c r="F12" i="28"/>
  <c r="E76" i="28" s="1"/>
  <c r="F76" i="28" s="1"/>
  <c r="F73" i="28" s="1"/>
  <c r="F31" i="25"/>
  <c r="F31" i="24"/>
  <c r="C17" i="31"/>
  <c r="F17" i="31" s="1"/>
  <c r="F16" i="31"/>
  <c r="C18" i="31"/>
  <c r="F18" i="31" s="1"/>
  <c r="F12" i="30"/>
  <c r="E76" i="30" s="1"/>
  <c r="F76" i="30" s="1"/>
  <c r="F73" i="30" s="1"/>
  <c r="C10" i="30"/>
  <c r="F10" i="30" s="1"/>
  <c r="F5" i="30" s="1"/>
  <c r="F84" i="29"/>
  <c r="F90" i="29" s="1"/>
  <c r="F5" i="28"/>
  <c r="F5" i="27"/>
  <c r="F84" i="27" s="1"/>
  <c r="C23" i="26"/>
  <c r="F23" i="26" s="1"/>
  <c r="C24" i="26"/>
  <c r="F24" i="26" s="1"/>
  <c r="F22" i="26"/>
  <c r="F12" i="26" s="1"/>
  <c r="C11" i="26"/>
  <c r="F11" i="26" s="1"/>
  <c r="C10" i="26"/>
  <c r="F10" i="26" s="1"/>
  <c r="C6" i="26"/>
  <c r="F6" i="26" s="1"/>
  <c r="F7" i="26"/>
  <c r="C10" i="25"/>
  <c r="F16" i="25"/>
  <c r="F12" i="25" s="1"/>
  <c r="C17" i="24"/>
  <c r="C10" i="24" s="1"/>
  <c r="F10" i="24" s="1"/>
  <c r="C18" i="24"/>
  <c r="F18" i="24" s="1"/>
  <c r="F16" i="24"/>
  <c r="C18" i="22"/>
  <c r="F18" i="22" s="1"/>
  <c r="C18" i="21"/>
  <c r="F18" i="21" s="1"/>
  <c r="F10" i="25"/>
  <c r="F7" i="25"/>
  <c r="C6" i="25"/>
  <c r="F6" i="25" s="1"/>
  <c r="C11" i="25"/>
  <c r="F11" i="25" s="1"/>
  <c r="C6" i="24"/>
  <c r="F6" i="24" s="1"/>
  <c r="F7" i="24"/>
  <c r="C24" i="24"/>
  <c r="F24" i="24" s="1"/>
  <c r="C23" i="24"/>
  <c r="F23" i="24" s="1"/>
  <c r="F22" i="24"/>
  <c r="C17" i="22"/>
  <c r="F17" i="22" s="1"/>
  <c r="F12" i="22" s="1"/>
  <c r="F16" i="23"/>
  <c r="C17" i="23"/>
  <c r="F17" i="23" s="1"/>
  <c r="C24" i="23"/>
  <c r="F24" i="23" s="1"/>
  <c r="C23" i="23"/>
  <c r="F23" i="23" s="1"/>
  <c r="F22" i="23"/>
  <c r="F31" i="22"/>
  <c r="F64" i="4"/>
  <c r="F16" i="21"/>
  <c r="F7" i="19"/>
  <c r="F7" i="4" s="1"/>
  <c r="F22" i="18"/>
  <c r="F22" i="4" s="1"/>
  <c r="C24" i="18"/>
  <c r="F24" i="18" s="1"/>
  <c r="F23" i="18"/>
  <c r="F23" i="4" s="1"/>
  <c r="F31" i="23"/>
  <c r="F7" i="23"/>
  <c r="C6" i="23"/>
  <c r="F6" i="23" s="1"/>
  <c r="C11" i="22"/>
  <c r="F11" i="22" s="1"/>
  <c r="F72" i="18"/>
  <c r="C17" i="21"/>
  <c r="F17" i="21" s="1"/>
  <c r="F31" i="21"/>
  <c r="F7" i="21"/>
  <c r="C6" i="21"/>
  <c r="F6" i="21" s="1"/>
  <c r="F6" i="4" s="1"/>
  <c r="C11" i="21"/>
  <c r="F11" i="21" s="1"/>
  <c r="F31" i="20"/>
  <c r="F16" i="20"/>
  <c r="C17" i="20"/>
  <c r="F17" i="20" s="1"/>
  <c r="C18" i="20"/>
  <c r="F18" i="20" s="1"/>
  <c r="F12" i="19"/>
  <c r="F31" i="19"/>
  <c r="C10" i="19"/>
  <c r="F10" i="19" s="1"/>
  <c r="C11" i="19"/>
  <c r="F11" i="19" s="1"/>
  <c r="F15" i="18"/>
  <c r="F15" i="4" s="1"/>
  <c r="C16" i="18"/>
  <c r="E76" i="21" l="1"/>
  <c r="F76" i="21" s="1"/>
  <c r="F73" i="21" s="1"/>
  <c r="F12" i="21"/>
  <c r="F24" i="4"/>
  <c r="F68" i="18"/>
  <c r="E79" i="18" s="1"/>
  <c r="F79" i="18" s="1"/>
  <c r="F79" i="4" s="1"/>
  <c r="F72" i="4"/>
  <c r="E76" i="25"/>
  <c r="C10" i="23"/>
  <c r="F10" i="23" s="1"/>
  <c r="F18" i="4"/>
  <c r="E76" i="22"/>
  <c r="E76" i="19"/>
  <c r="C10" i="31"/>
  <c r="F10" i="31" s="1"/>
  <c r="F5" i="31" s="1"/>
  <c r="F84" i="31" s="1"/>
  <c r="F90" i="32"/>
  <c r="F86" i="32"/>
  <c r="F93" i="32"/>
  <c r="F89" i="32"/>
  <c r="F91" i="32"/>
  <c r="F92" i="32"/>
  <c r="F88" i="32"/>
  <c r="F87" i="32"/>
  <c r="F84" i="30"/>
  <c r="F89" i="30" s="1"/>
  <c r="E76" i="26"/>
  <c r="F76" i="26" s="1"/>
  <c r="F73" i="26" s="1"/>
  <c r="F76" i="25"/>
  <c r="F73" i="25" s="1"/>
  <c r="F76" i="22"/>
  <c r="C10" i="21"/>
  <c r="F12" i="31"/>
  <c r="E76" i="31" s="1"/>
  <c r="F76" i="31" s="1"/>
  <c r="F73" i="31" s="1"/>
  <c r="C11" i="31"/>
  <c r="F11" i="31" s="1"/>
  <c r="F84" i="28"/>
  <c r="F88" i="28" s="1"/>
  <c r="F86" i="30"/>
  <c r="F93" i="30"/>
  <c r="F91" i="30"/>
  <c r="F87" i="30"/>
  <c r="F87" i="29"/>
  <c r="F91" i="29"/>
  <c r="F89" i="29"/>
  <c r="F93" i="29"/>
  <c r="F88" i="29"/>
  <c r="F86" i="29"/>
  <c r="F92" i="29"/>
  <c r="F92" i="27"/>
  <c r="F88" i="27"/>
  <c r="F91" i="27"/>
  <c r="F87" i="27"/>
  <c r="F90" i="27"/>
  <c r="F86" i="27"/>
  <c r="F93" i="27"/>
  <c r="F89" i="27"/>
  <c r="F5" i="26"/>
  <c r="C11" i="24"/>
  <c r="F11" i="24" s="1"/>
  <c r="F5" i="24" s="1"/>
  <c r="F17" i="24"/>
  <c r="F12" i="24" s="1"/>
  <c r="C11" i="23"/>
  <c r="F11" i="23" s="1"/>
  <c r="F5" i="23" s="1"/>
  <c r="C10" i="22"/>
  <c r="F10" i="22" s="1"/>
  <c r="C10" i="20"/>
  <c r="F5" i="25"/>
  <c r="F5" i="22"/>
  <c r="F10" i="21"/>
  <c r="F5" i="21" s="1"/>
  <c r="F31" i="4"/>
  <c r="F68" i="4"/>
  <c r="F12" i="23"/>
  <c r="F12" i="20"/>
  <c r="F10" i="20"/>
  <c r="F76" i="19"/>
  <c r="F73" i="19" s="1"/>
  <c r="C11" i="20"/>
  <c r="F11" i="20" s="1"/>
  <c r="F5" i="19"/>
  <c r="F16" i="18"/>
  <c r="F16" i="4" s="1"/>
  <c r="C17" i="18"/>
  <c r="F17" i="18" s="1"/>
  <c r="C18" i="18"/>
  <c r="F18" i="18" s="1"/>
  <c r="F90" i="30" l="1"/>
  <c r="F84" i="25"/>
  <c r="F88" i="30"/>
  <c r="F92" i="30"/>
  <c r="F12" i="18"/>
  <c r="F17" i="4"/>
  <c r="F12" i="4" s="1"/>
  <c r="F73" i="22"/>
  <c r="F84" i="22" s="1"/>
  <c r="F94" i="32"/>
  <c r="F84" i="26"/>
  <c r="F90" i="26" s="1"/>
  <c r="E76" i="24"/>
  <c r="F76" i="24" s="1"/>
  <c r="F73" i="24" s="1"/>
  <c r="F84" i="24" s="1"/>
  <c r="F90" i="24" s="1"/>
  <c r="E76" i="23"/>
  <c r="F76" i="23" s="1"/>
  <c r="F73" i="23" s="1"/>
  <c r="F84" i="23" s="1"/>
  <c r="F89" i="23" s="1"/>
  <c r="E76" i="20"/>
  <c r="F76" i="20" s="1"/>
  <c r="F73" i="20" s="1"/>
  <c r="E76" i="18"/>
  <c r="F76" i="18" s="1"/>
  <c r="F76" i="4" s="1"/>
  <c r="F90" i="31"/>
  <c r="F86" i="31"/>
  <c r="F93" i="31"/>
  <c r="F89" i="31"/>
  <c r="F92" i="31"/>
  <c r="F88" i="31"/>
  <c r="F91" i="31"/>
  <c r="F87" i="31"/>
  <c r="F86" i="28"/>
  <c r="F92" i="28"/>
  <c r="F90" i="28"/>
  <c r="F89" i="28"/>
  <c r="F91" i="28"/>
  <c r="F93" i="28"/>
  <c r="F87" i="28"/>
  <c r="F94" i="30"/>
  <c r="F94" i="29"/>
  <c r="F84" i="21"/>
  <c r="F87" i="21" s="1"/>
  <c r="F94" i="27"/>
  <c r="F91" i="26"/>
  <c r="F88" i="26"/>
  <c r="F89" i="26"/>
  <c r="F93" i="26"/>
  <c r="F92" i="26"/>
  <c r="F87" i="26"/>
  <c r="F90" i="25"/>
  <c r="F86" i="25"/>
  <c r="F93" i="25"/>
  <c r="F89" i="25"/>
  <c r="F88" i="25"/>
  <c r="F87" i="25"/>
  <c r="F92" i="25"/>
  <c r="F91" i="25"/>
  <c r="F84" i="19"/>
  <c r="F90" i="19" s="1"/>
  <c r="F5" i="20"/>
  <c r="C10" i="18"/>
  <c r="F10" i="18" s="1"/>
  <c r="F10" i="4" s="1"/>
  <c r="C11" i="18"/>
  <c r="F11" i="18" s="1"/>
  <c r="F11" i="4" s="1"/>
  <c r="F86" i="26" l="1"/>
  <c r="F90" i="22"/>
  <c r="F87" i="22"/>
  <c r="F86" i="22"/>
  <c r="F93" i="22"/>
  <c r="F91" i="22"/>
  <c r="F92" i="22"/>
  <c r="F88" i="22"/>
  <c r="F89" i="22"/>
  <c r="F84" i="20"/>
  <c r="F88" i="20" s="1"/>
  <c r="F73" i="18"/>
  <c r="F73" i="4"/>
  <c r="F94" i="31"/>
  <c r="F94" i="28"/>
  <c r="F89" i="21"/>
  <c r="F90" i="21"/>
  <c r="F92" i="21"/>
  <c r="F86" i="21"/>
  <c r="F91" i="21"/>
  <c r="F93" i="21"/>
  <c r="F88" i="21"/>
  <c r="F94" i="26"/>
  <c r="F94" i="25"/>
  <c r="F87" i="24"/>
  <c r="F89" i="24"/>
  <c r="F93" i="24"/>
  <c r="F91" i="24"/>
  <c r="F88" i="24"/>
  <c r="F86" i="24"/>
  <c r="F92" i="24"/>
  <c r="F87" i="23"/>
  <c r="F90" i="23"/>
  <c r="F93" i="23"/>
  <c r="F88" i="23"/>
  <c r="F86" i="23"/>
  <c r="F92" i="23"/>
  <c r="F5" i="4"/>
  <c r="F86" i="19"/>
  <c r="F93" i="19"/>
  <c r="F92" i="19"/>
  <c r="F91" i="19"/>
  <c r="F87" i="19"/>
  <c r="F89" i="19"/>
  <c r="F88" i="19"/>
  <c r="F91" i="23"/>
  <c r="F91" i="20"/>
  <c r="F5" i="18"/>
  <c r="F84" i="18" s="1"/>
  <c r="F94" i="22" l="1"/>
  <c r="F93" i="20"/>
  <c r="F86" i="20"/>
  <c r="F90" i="20"/>
  <c r="F89" i="20"/>
  <c r="F92" i="20"/>
  <c r="F87" i="20"/>
  <c r="F94" i="20" s="1"/>
  <c r="F94" i="21"/>
  <c r="F84" i="4"/>
  <c r="F90" i="4" s="1"/>
  <c r="F94" i="24"/>
  <c r="F94" i="19"/>
  <c r="F94" i="23"/>
  <c r="F93" i="18"/>
  <c r="F89" i="18"/>
  <c r="F92" i="18"/>
  <c r="F88" i="18"/>
  <c r="F91" i="18"/>
  <c r="F87" i="18"/>
  <c r="F90" i="18"/>
  <c r="F86" i="18"/>
  <c r="F86" i="4" l="1"/>
  <c r="F87" i="4"/>
  <c r="F92" i="4"/>
  <c r="F89" i="4"/>
  <c r="F93" i="4"/>
  <c r="F91" i="4"/>
  <c r="F88" i="4"/>
  <c r="F94" i="18"/>
  <c r="F94" i="4" l="1"/>
  <c r="F42" i="12" l="1"/>
  <c r="F43" i="12"/>
  <c r="F39" i="12"/>
  <c r="F38" i="12"/>
  <c r="F37" i="12"/>
  <c r="B83" i="13" l="1"/>
  <c r="B82" i="13"/>
  <c r="B87" i="12"/>
  <c r="B86" i="12"/>
  <c r="A3" i="8" l="1"/>
  <c r="A2" i="8"/>
  <c r="A2" i="13"/>
  <c r="A3" i="12"/>
  <c r="A2" i="12"/>
  <c r="A3" i="13"/>
  <c r="F77" i="13"/>
  <c r="F76" i="13"/>
  <c r="F75" i="13"/>
  <c r="F73" i="13"/>
  <c r="F72" i="13"/>
  <c r="F71" i="13"/>
  <c r="F70" i="13"/>
  <c r="F68" i="13"/>
  <c r="F67" i="13"/>
  <c r="F65" i="13"/>
  <c r="G65" i="13" s="1"/>
  <c r="F64" i="13"/>
  <c r="F63" i="13"/>
  <c r="F62" i="13"/>
  <c r="F61" i="13"/>
  <c r="F60" i="13"/>
  <c r="F59" i="13"/>
  <c r="F58" i="13"/>
  <c r="F57" i="13"/>
  <c r="F55" i="13"/>
  <c r="G55" i="13" s="1"/>
  <c r="F54" i="13"/>
  <c r="G54" i="13" s="1"/>
  <c r="F53" i="13"/>
  <c r="G52" i="13" s="1"/>
  <c r="F51" i="13"/>
  <c r="F50" i="13"/>
  <c r="F49" i="13"/>
  <c r="F48" i="13"/>
  <c r="F47" i="13"/>
  <c r="F45" i="13"/>
  <c r="F44" i="13"/>
  <c r="F43" i="13"/>
  <c r="F42" i="13"/>
  <c r="F41" i="13"/>
  <c r="F39" i="13"/>
  <c r="F38" i="13"/>
  <c r="F37" i="13"/>
  <c r="F36" i="13"/>
  <c r="F34" i="13"/>
  <c r="F33" i="13"/>
  <c r="F32" i="13"/>
  <c r="F30" i="13"/>
  <c r="F29" i="13"/>
  <c r="F28" i="13"/>
  <c r="F26" i="13"/>
  <c r="F25" i="13"/>
  <c r="F24" i="13"/>
  <c r="F24" i="12"/>
  <c r="F58" i="12"/>
  <c r="G58" i="12" s="1"/>
  <c r="F81" i="12"/>
  <c r="F80" i="12"/>
  <c r="F79" i="12"/>
  <c r="F77" i="12"/>
  <c r="F76" i="12"/>
  <c r="F75" i="12"/>
  <c r="F74" i="12"/>
  <c r="F72" i="12"/>
  <c r="F71" i="12"/>
  <c r="F69" i="12"/>
  <c r="G69" i="12" s="1"/>
  <c r="F68" i="12"/>
  <c r="F67" i="12"/>
  <c r="F66" i="12"/>
  <c r="F65" i="12"/>
  <c r="F64" i="12"/>
  <c r="F63" i="12"/>
  <c r="F62" i="12"/>
  <c r="F61" i="12"/>
  <c r="F59" i="12"/>
  <c r="G59" i="12" s="1"/>
  <c r="F57" i="12"/>
  <c r="G56" i="12" s="1"/>
  <c r="F55" i="12"/>
  <c r="F54" i="12"/>
  <c r="F53" i="12"/>
  <c r="F52" i="12"/>
  <c r="F51" i="12"/>
  <c r="F49" i="12"/>
  <c r="F48" i="12"/>
  <c r="F47" i="12"/>
  <c r="F46" i="12"/>
  <c r="F45" i="12"/>
  <c r="F41" i="12"/>
  <c r="F40" i="12"/>
  <c r="F36" i="12"/>
  <c r="F34" i="12"/>
  <c r="F33" i="12"/>
  <c r="F32" i="12"/>
  <c r="F30" i="12"/>
  <c r="F29" i="12"/>
  <c r="F28" i="12"/>
  <c r="F26" i="12"/>
  <c r="F25" i="12"/>
  <c r="G66" i="13" l="1"/>
  <c r="G31" i="13"/>
  <c r="G73" i="12"/>
  <c r="G27" i="13"/>
  <c r="G35" i="12"/>
  <c r="G44" i="12"/>
  <c r="G70" i="12"/>
  <c r="G69" i="13"/>
  <c r="G74" i="13"/>
  <c r="G60" i="12"/>
  <c r="G46" i="13"/>
  <c r="G31" i="12"/>
  <c r="G50" i="12"/>
  <c r="G35" i="13"/>
  <c r="G27" i="12"/>
  <c r="F22" i="13"/>
  <c r="G40" i="13"/>
  <c r="G56" i="13"/>
  <c r="G23" i="13"/>
  <c r="G23" i="12"/>
  <c r="F22" i="12"/>
  <c r="G77" i="13"/>
  <c r="G19" i="13"/>
  <c r="G10" i="13"/>
  <c r="G81" i="12"/>
  <c r="G78" i="12"/>
  <c r="F83" i="12"/>
  <c r="G19" i="12"/>
  <c r="G10" i="12"/>
  <c r="G6" i="12"/>
  <c r="G22" i="12" l="1"/>
  <c r="G87" i="12" s="1"/>
  <c r="G22" i="13"/>
  <c r="F36" i="8"/>
  <c r="G35" i="8" s="1"/>
  <c r="F34" i="8"/>
  <c r="F33" i="8"/>
  <c r="F32" i="8"/>
  <c r="F31" i="8"/>
  <c r="F29" i="8"/>
  <c r="F28" i="8"/>
  <c r="G27" i="8" s="1"/>
  <c r="F26" i="8"/>
  <c r="F25" i="8"/>
  <c r="F24" i="8"/>
  <c r="F22" i="8"/>
  <c r="F21" i="8"/>
  <c r="F20" i="8"/>
  <c r="F19" i="8"/>
  <c r="F18" i="8"/>
  <c r="F17" i="8"/>
  <c r="F15" i="8"/>
  <c r="F14" i="8"/>
  <c r="F13" i="8"/>
  <c r="G12" i="8" s="1"/>
  <c r="F11" i="8"/>
  <c r="G10" i="8" s="1"/>
  <c r="F1" i="8"/>
  <c r="G83" i="12" l="1"/>
  <c r="G91" i="12" s="1"/>
  <c r="G86" i="12"/>
  <c r="G16" i="8"/>
  <c r="G83" i="13"/>
  <c r="G82" i="13"/>
  <c r="G30" i="8"/>
  <c r="G23" i="8"/>
  <c r="F1" i="13"/>
  <c r="F1" i="12"/>
  <c r="F38" i="8"/>
  <c r="G9" i="8" l="1"/>
  <c r="G38" i="8" s="1"/>
  <c r="G42" i="8" s="1"/>
  <c r="G90" i="12"/>
  <c r="F79" i="13"/>
  <c r="G6" i="13"/>
  <c r="G41" i="8" l="1"/>
  <c r="G93" i="12"/>
  <c r="G79" i="13"/>
  <c r="G46" i="8"/>
  <c r="G45" i="8" l="1"/>
  <c r="G86" i="13"/>
  <c r="G87" i="13"/>
  <c r="G48" i="8"/>
  <c r="G89"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Steer</author>
  </authors>
  <commentList>
    <comment ref="B25" authorId="0" shapeId="0" xr:uid="{00000000-0006-0000-0200-000001000000}">
      <text>
        <r>
          <rPr>
            <b/>
            <sz val="9"/>
            <color indexed="81"/>
            <rFont val="Tahoma"/>
            <family val="2"/>
          </rPr>
          <t>Michael Steer:</t>
        </r>
        <r>
          <rPr>
            <sz val="9"/>
            <color indexed="81"/>
            <rFont val="Tahoma"/>
            <family val="2"/>
          </rPr>
          <t xml:space="preserve">
Heavier pavement used due to proximity to roundabout
</t>
        </r>
      </text>
    </comment>
  </commentList>
</comments>
</file>

<file path=xl/sharedStrings.xml><?xml version="1.0" encoding="utf-8"?>
<sst xmlns="http://schemas.openxmlformats.org/spreadsheetml/2006/main" count="3411" uniqueCount="281">
  <si>
    <t>PRELIMINARY ESTIMATE OF DEVELOPMENT COSTS</t>
  </si>
  <si>
    <t>Proposed Intersection Upgrade Summary</t>
  </si>
  <si>
    <t>Item</t>
  </si>
  <si>
    <t>Description</t>
  </si>
  <si>
    <t>Qty</t>
  </si>
  <si>
    <t>Unit</t>
  </si>
  <si>
    <t>Rate
$</t>
  </si>
  <si>
    <t>Amount
$</t>
  </si>
  <si>
    <t>PRELIMINARIES</t>
  </si>
  <si>
    <t>Site Preparation (incl clearing &amp; grubbing)</t>
  </si>
  <si>
    <t>See individual project sheets</t>
  </si>
  <si>
    <t>m²</t>
  </si>
  <si>
    <t>Strip, stockpile, maintain and re-spread topsoil</t>
  </si>
  <si>
    <t>Demolish existing structures, pipes, etc</t>
  </si>
  <si>
    <t>item</t>
  </si>
  <si>
    <t>Sawcut existing asphalt at joints</t>
  </si>
  <si>
    <t>Earthworks (cut to fill incl compaction)</t>
  </si>
  <si>
    <r>
      <t>m</t>
    </r>
    <r>
      <rPr>
        <vertAlign val="superscript"/>
        <sz val="11"/>
        <rFont val="Arial"/>
        <family val="2"/>
      </rPr>
      <t>3</t>
    </r>
  </si>
  <si>
    <t>Earthworks (cut to spoil)</t>
  </si>
  <si>
    <t>PAVEMENT</t>
  </si>
  <si>
    <t>Connector Level 1 (400mm)</t>
  </si>
  <si>
    <t>2.1.1</t>
  </si>
  <si>
    <t>Wearing Course Type N 10mm (40mm)</t>
  </si>
  <si>
    <t>2.1.2</t>
  </si>
  <si>
    <t>Base Course - Class 1 FCR (100mm)</t>
  </si>
  <si>
    <t>2.1.3</t>
  </si>
  <si>
    <t>Lower Base Course Class 3 FCR (260mm)</t>
  </si>
  <si>
    <t>2.1.4</t>
  </si>
  <si>
    <t>Subgrade replacement (300mm)</t>
  </si>
  <si>
    <t>2.1.5</t>
  </si>
  <si>
    <t>Rock Allowance</t>
  </si>
  <si>
    <t>Connector Level 2 (490mm)</t>
  </si>
  <si>
    <t>2.2.1</t>
  </si>
  <si>
    <t>2.2.2</t>
  </si>
  <si>
    <t>Base Course - Class 1 FCR (150mm)</t>
  </si>
  <si>
    <t>2.2.3</t>
  </si>
  <si>
    <t>Lower Base Course Class 3 FCR (300mm)</t>
  </si>
  <si>
    <t>2.2.4</t>
  </si>
  <si>
    <t>2.2.5</t>
  </si>
  <si>
    <t>Access Street (370mm)</t>
  </si>
  <si>
    <t>2.3.1</t>
  </si>
  <si>
    <t>Wearing Course Type N 10mm (30mm)</t>
  </si>
  <si>
    <t>2.3.2</t>
  </si>
  <si>
    <t>2.3.3</t>
  </si>
  <si>
    <t>Lower Base Course Class 3 FCR (240mm)</t>
  </si>
  <si>
    <t>2.3.4</t>
  </si>
  <si>
    <t>2.3.5</t>
  </si>
  <si>
    <t>CONCRETE WORKS</t>
  </si>
  <si>
    <t>Kerb &amp; channel</t>
  </si>
  <si>
    <t>3.1.1</t>
  </si>
  <si>
    <t>SM2</t>
  </si>
  <si>
    <t>m</t>
  </si>
  <si>
    <t>3.1.2</t>
  </si>
  <si>
    <t>SM3</t>
  </si>
  <si>
    <t>3.1.3</t>
  </si>
  <si>
    <t>M1</t>
  </si>
  <si>
    <t>Splitter island infill</t>
  </si>
  <si>
    <t>3.2.1</t>
  </si>
  <si>
    <t>150mm depth Concrete SL82 REO centrally placed</t>
  </si>
  <si>
    <t>3.2.2</t>
  </si>
  <si>
    <t>100 mm depth, 20 mm nominal size, Class 3 FCR</t>
  </si>
  <si>
    <t>Pedestrian pathway</t>
  </si>
  <si>
    <t>3.3.1</t>
  </si>
  <si>
    <t>125mm depth Concrete SL72 REO centrally placed</t>
  </si>
  <si>
    <t>3.3.2</t>
  </si>
  <si>
    <t>50 mm depth, 20 mm nominal size, Class 3 FCR</t>
  </si>
  <si>
    <t>Shared path</t>
  </si>
  <si>
    <t>3.4.1</t>
  </si>
  <si>
    <t>3.4.2</t>
  </si>
  <si>
    <t>Pram ramps</t>
  </si>
  <si>
    <t>DRAINAGE</t>
  </si>
  <si>
    <t xml:space="preserve"> SEP</t>
  </si>
  <si>
    <t>Junction pits - 900 x 900mm</t>
  </si>
  <si>
    <t>Headwall to suit</t>
  </si>
  <si>
    <t>4.3.1</t>
  </si>
  <si>
    <t xml:space="preserve">525mm dia RCP </t>
  </si>
  <si>
    <t>4.3.2</t>
  </si>
  <si>
    <t xml:space="preserve">600mm dia RCP </t>
  </si>
  <si>
    <t>Reinforced Concrete Pipes, RRJ, standard backfill compacted to 98% standard dry density</t>
  </si>
  <si>
    <t>4.4.1</t>
  </si>
  <si>
    <t>375mm dia RCP Class 3, RRJ</t>
  </si>
  <si>
    <t>4.4.2</t>
  </si>
  <si>
    <t>450mm dia RCP Class 3, RRJ</t>
  </si>
  <si>
    <t>4.4.3</t>
  </si>
  <si>
    <t>525mm dia RCP Class 3, RRJ</t>
  </si>
  <si>
    <t>4.4.4</t>
  </si>
  <si>
    <t>600mm dia RCP Class 3, RRJ</t>
  </si>
  <si>
    <t>Grated Pits</t>
  </si>
  <si>
    <t>4.5.1</t>
  </si>
  <si>
    <t>1000mmx750mm</t>
  </si>
  <si>
    <t>Subsoil drains 100mm dia</t>
  </si>
  <si>
    <t>Subsoil flush out risers</t>
  </si>
  <si>
    <t>No</t>
  </si>
  <si>
    <t>TRAFFIC</t>
  </si>
  <si>
    <t>Traffic Signals</t>
  </si>
  <si>
    <t>Traffic Safety</t>
  </si>
  <si>
    <t>LANDSCAPING WORKS</t>
  </si>
  <si>
    <t>Trees</t>
  </si>
  <si>
    <t>Landscaping (shrubs, mulch)</t>
  </si>
  <si>
    <t>Nature strip (grass seeding, additional topsoil)</t>
  </si>
  <si>
    <t>STREET LIGHTING</t>
  </si>
  <si>
    <t>Signalised intersection</t>
  </si>
  <si>
    <t>Roundabout</t>
  </si>
  <si>
    <t>Lighting (standard poles)</t>
  </si>
  <si>
    <t>PowerCor costs</t>
  </si>
  <si>
    <t>%</t>
  </si>
  <si>
    <t>MISCELLANEOUS</t>
  </si>
  <si>
    <t>Line marking</t>
  </si>
  <si>
    <t>Regulatory signage</t>
  </si>
  <si>
    <t>Works maintenance</t>
  </si>
  <si>
    <t>Landscape maintenance (2 summers)</t>
  </si>
  <si>
    <t>Traffic signal maintenance fee (10 years)</t>
  </si>
  <si>
    <t>year</t>
  </si>
  <si>
    <t>Street lighting maintenance and power</t>
  </si>
  <si>
    <t>OTHER WORKS</t>
  </si>
  <si>
    <t>SUB-TOTAL</t>
  </si>
  <si>
    <t>DELIVERY</t>
  </si>
  <si>
    <t>Council Fees</t>
  </si>
  <si>
    <t>VicRoads Fees</t>
  </si>
  <si>
    <t>Traffic Management</t>
  </si>
  <si>
    <t>Environmental Management</t>
  </si>
  <si>
    <t>Survey/Design</t>
  </si>
  <si>
    <t>Supervision &amp; Project Management</t>
  </si>
  <si>
    <t>Site Establishment</t>
  </si>
  <si>
    <t>Contingency</t>
  </si>
  <si>
    <t>TOTAL ESTIMATED COST</t>
  </si>
  <si>
    <r>
      <t xml:space="preserve">Note, this preliminary estimate assumes that works will be constructed to the ultimate design based on the drawing numbers noted.  All stormwater designs are indicative only and mey require amendment subsequent to changes to channels and drains currenlty under review. Filling of channels is based on current kowledge and expectations from </t>
    </r>
    <r>
      <rPr>
        <i/>
        <sz val="11"/>
        <color theme="1"/>
        <rFont val="Arial"/>
        <family val="2"/>
      </rPr>
      <t xml:space="preserve">Greater Shepparton Council - Channel Road Development Flood Assessment </t>
    </r>
    <r>
      <rPr>
        <sz val="11"/>
        <color theme="1"/>
        <rFont val="Arial"/>
        <family val="2"/>
      </rPr>
      <t>prepared by Water Tecnology and dated 31 October 2018.  assumptions for rock and poor subgrade are based on guidelines provided in the Request for Quotation dated 14 September 2018 and assumptions for the existing channels.</t>
    </r>
  </si>
  <si>
    <t>Proposed Intersection Upgrade Poplar Avenue/Feiglin Road</t>
  </si>
  <si>
    <t>Proposed Intersection Upgrade Buckingham Street/Feiglin Road</t>
  </si>
  <si>
    <t>Proposed Intersection Upgrade Channel Road/Feiglin Road</t>
  </si>
  <si>
    <t>Disposal of unsuitable material from abandoned channel</t>
  </si>
  <si>
    <t>Proposed Intersection Upgrade Channel Road/McPhees Road</t>
  </si>
  <si>
    <t>Proposed Intersection Upgrade Channel Road/Archer Street</t>
  </si>
  <si>
    <t>Proposed New Road - Zurcas Lane</t>
  </si>
  <si>
    <t xml:space="preserve">Zurcas Lane in total (upgrade of existing + new) </t>
  </si>
  <si>
    <t>Proposed Road Widening - Feiglin Road</t>
  </si>
  <si>
    <t xml:space="preserve">cost very low? </t>
  </si>
  <si>
    <t>Proposed New Road - Unnamed Road</t>
  </si>
  <si>
    <t>Proposed Road Realignment - Poplar Avenue</t>
  </si>
  <si>
    <t xml:space="preserve">Total poplar avenuw </t>
  </si>
  <si>
    <t>Proposed Road Realignment - Channel Road</t>
  </si>
  <si>
    <t>Dead ending of Mozart Ave</t>
  </si>
  <si>
    <t xml:space="preserve">Total channel rd cost </t>
  </si>
  <si>
    <t>Proposed Intersection Upgrade Poplar Avenue/Doyles Road</t>
  </si>
  <si>
    <t>Proposed Road Realignment - Doyles Road</t>
  </si>
  <si>
    <t>Proposed Intersection Upgrade Channel Road/Doyles Road</t>
  </si>
  <si>
    <t>ITEM</t>
  </si>
  <si>
    <t>DESCRIPTION</t>
  </si>
  <si>
    <t>QUANTITY</t>
  </si>
  <si>
    <t>UNIT</t>
  </si>
  <si>
    <t xml:space="preserve">RATE </t>
  </si>
  <si>
    <t>AMOUNT</t>
  </si>
  <si>
    <t>SUBTOTAL</t>
  </si>
  <si>
    <t>A</t>
  </si>
  <si>
    <t>Project and Program Management</t>
  </si>
  <si>
    <t>Project Management</t>
  </si>
  <si>
    <t>Program Administration</t>
  </si>
  <si>
    <t>B</t>
  </si>
  <si>
    <t>Design and Investigation</t>
  </si>
  <si>
    <t>Traffic Investigations</t>
  </si>
  <si>
    <t>Cadastral and Engineering Survey</t>
  </si>
  <si>
    <t>Geotechnical investigations</t>
  </si>
  <si>
    <t>Pavement Investigations and Design</t>
  </si>
  <si>
    <t>Environmental Investigations</t>
  </si>
  <si>
    <t>Landscape Design</t>
  </si>
  <si>
    <t>Preliminary Design</t>
  </si>
  <si>
    <t>C</t>
  </si>
  <si>
    <t>Land Acquisition</t>
  </si>
  <si>
    <t xml:space="preserve">Acquire land </t>
  </si>
  <si>
    <t>D</t>
  </si>
  <si>
    <t>Construction</t>
  </si>
  <si>
    <t>Site Management &amp; supervision including QA</t>
  </si>
  <si>
    <t>wks</t>
  </si>
  <si>
    <t>Provision for traffic</t>
  </si>
  <si>
    <t>DEMOLITION</t>
  </si>
  <si>
    <t>Kerb and channel</t>
  </si>
  <si>
    <t>Pavement</t>
  </si>
  <si>
    <t>not included</t>
  </si>
  <si>
    <t>EARTHWORKS</t>
  </si>
  <si>
    <t>Stripping topsoil</t>
  </si>
  <si>
    <t>Excavation</t>
  </si>
  <si>
    <t>m³</t>
  </si>
  <si>
    <t>Fill,Type A</t>
  </si>
  <si>
    <t xml:space="preserve">PAVEMENT </t>
  </si>
  <si>
    <t>Wearing Course 40mm</t>
  </si>
  <si>
    <t>4.2</t>
  </si>
  <si>
    <t>Upper structural Course 75mm (Type SI)</t>
  </si>
  <si>
    <t>4.3</t>
  </si>
  <si>
    <t>Lower structural Course 75mm (Type Sf)</t>
  </si>
  <si>
    <t>4.4</t>
  </si>
  <si>
    <t>110mm Class 3 CTCR</t>
  </si>
  <si>
    <t>4.5</t>
  </si>
  <si>
    <t>110mm Class 2 FCS</t>
  </si>
  <si>
    <t>4.6</t>
  </si>
  <si>
    <t>280mm Select Granular Fill</t>
  </si>
  <si>
    <t>4.7</t>
  </si>
  <si>
    <t>Subgrade replacement</t>
  </si>
  <si>
    <t>4.8</t>
  </si>
  <si>
    <t>Rock Removal</t>
  </si>
  <si>
    <t>subsoil drains 100mm dia - screenings</t>
  </si>
  <si>
    <t>subsoil drains 100mm dia - no fines conc</t>
  </si>
  <si>
    <t>subsoil flush out risers</t>
  </si>
  <si>
    <t>375 RCP (Class 2)</t>
  </si>
  <si>
    <t>Side entry pits</t>
  </si>
  <si>
    <t>Kerb &amp;channel</t>
  </si>
  <si>
    <t>Footpaths</t>
  </si>
  <si>
    <t>Lay backs and tactile pavers</t>
  </si>
  <si>
    <t>conc island infill</t>
  </si>
  <si>
    <t>tactiles</t>
  </si>
  <si>
    <t>Topsoiling seeding</t>
  </si>
  <si>
    <t>SIGNING</t>
  </si>
  <si>
    <t>LINEMARKING</t>
  </si>
  <si>
    <t>SIGNALS</t>
  </si>
  <si>
    <t>GENERAL ITEMS</t>
  </si>
  <si>
    <t>CONDUITS</t>
  </si>
  <si>
    <t>PEDESTALS</t>
  </si>
  <si>
    <t>LANTERNS</t>
  </si>
  <si>
    <t>CONTROLLER</t>
  </si>
  <si>
    <t>DETECTORS</t>
  </si>
  <si>
    <t>CABLING &amp; CONNECTIONS</t>
  </si>
  <si>
    <t>CLEAN-UP</t>
  </si>
  <si>
    <t>SIGNAL MAINTENANCE (10 YEARS)      By Road Authority</t>
  </si>
  <si>
    <t>SERVICE RELOCATION</t>
  </si>
  <si>
    <t xml:space="preserve">Unknown </t>
  </si>
  <si>
    <t xml:space="preserve">(Water, Gas, Telstra)  </t>
  </si>
  <si>
    <t>hydrant relocated</t>
  </si>
  <si>
    <t>POWER &amp; LIGHTING /Relocation</t>
  </si>
  <si>
    <t xml:space="preserve">power poles etc </t>
  </si>
  <si>
    <t>light pole relocated</t>
  </si>
  <si>
    <t>conduits and pits</t>
  </si>
  <si>
    <t>Electrical connection</t>
  </si>
  <si>
    <t>PROVISIONAL SUM - DAYWORK</t>
  </si>
  <si>
    <t>TOTAL A - D</t>
  </si>
  <si>
    <t>E</t>
  </si>
  <si>
    <t>F</t>
  </si>
  <si>
    <t>PROJECT BUDGET</t>
  </si>
  <si>
    <t>Lower Bound Estimate</t>
  </si>
  <si>
    <t>Upper Bound Estimate</t>
  </si>
  <si>
    <t>G</t>
  </si>
  <si>
    <t>Project Budget (75% Confidence)</t>
  </si>
  <si>
    <t xml:space="preserve">Deep lift asphalt 195 mm </t>
  </si>
  <si>
    <t>Subbase course - 250 mm 3% CTCR</t>
  </si>
  <si>
    <t>Asphalt overlay</t>
  </si>
  <si>
    <t>Soft spots</t>
  </si>
  <si>
    <t>Public lighting</t>
  </si>
  <si>
    <t>CAR PARK LOCATION</t>
  </si>
  <si>
    <t>ESTIMATE FOR PARKING CONTROL SYSTEM INSTALLATION COSTS DETAIL</t>
  </si>
  <si>
    <t>DESCRIPTION OF WORKS</t>
  </si>
  <si>
    <t>DESCRIPTION OF WORK</t>
  </si>
  <si>
    <t>TOTALS</t>
  </si>
  <si>
    <t>Rates</t>
  </si>
  <si>
    <t>as at 1998</t>
  </si>
  <si>
    <t>PARKING EQUIPMENT</t>
  </si>
  <si>
    <t>Ticket Spitter (with intercom &amp; card reader)</t>
  </si>
  <si>
    <t>No.</t>
  </si>
  <si>
    <t>Ticket Validator (with intercom &amp; card reader)</t>
  </si>
  <si>
    <t>Boom Gate (including detector loops)</t>
  </si>
  <si>
    <t>COMPUTER EQUIPMENT</t>
  </si>
  <si>
    <t>Central Computer</t>
  </si>
  <si>
    <t>Cash Registers</t>
  </si>
  <si>
    <t>Automatic Pay Station</t>
  </si>
  <si>
    <t>Shop Ticket Reader</t>
  </si>
  <si>
    <t>CCTV Camera</t>
  </si>
  <si>
    <t>CCTV Monitor</t>
  </si>
  <si>
    <t>SIGNAGE</t>
  </si>
  <si>
    <t>Variable Capacity Sign</t>
  </si>
  <si>
    <t>Variable (Full) Sign</t>
  </si>
  <si>
    <t>Lane Control Sign</t>
  </si>
  <si>
    <t>INSTALLATION</t>
  </si>
  <si>
    <t>Installation</t>
  </si>
  <si>
    <t>Site Cleanup</t>
  </si>
  <si>
    <t>CIVIL WORKS</t>
  </si>
  <si>
    <t>Plinths</t>
  </si>
  <si>
    <t>Bollards</t>
  </si>
  <si>
    <t>Linemarking</t>
  </si>
  <si>
    <t>Removal of Existing</t>
  </si>
  <si>
    <t>TOTAL</t>
  </si>
  <si>
    <t>Lower Bound Contingency (0%)</t>
  </si>
  <si>
    <t>Upper Bound Contingency (40%)</t>
  </si>
  <si>
    <t>PARKING CONTROL SYSTEM BUDGET</t>
  </si>
  <si>
    <t>Traffic Signal Budget (75%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</si>
</sst>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quot;$&quot;* #,##0_-;_-&quot;$&quot;* &quot;-&quot;_-;_-@_-"/>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C09]d\ mmmm\ yyyy;@"/>
    <numFmt numFmtId="167" formatCode="_-* #,##0.0_-;\-* #,##0.0_-;_-* &quot;-&quot;??_-;_-@_-"/>
    <numFmt numFmtId="168" formatCode="&quot;$&quot;#,##0.00_);\(&quot;$&quot;#,##0.00\)"/>
    <numFmt numFmtId="169" formatCode="#,##0.00_ ;\-#,##0.00\ "/>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i/>
      <sz val="10.5"/>
      <color theme="0"/>
      <name val="Arial"/>
      <family val="2"/>
    </font>
    <font>
      <b/>
      <sz val="11"/>
      <name val="Arial"/>
      <family val="2"/>
    </font>
    <font>
      <sz val="11"/>
      <name val="Arial"/>
      <family val="2"/>
    </font>
    <font>
      <b/>
      <sz val="11"/>
      <color theme="0"/>
      <name val="Arial"/>
      <family val="2"/>
    </font>
    <font>
      <sz val="11"/>
      <color theme="0"/>
      <name val="Arial"/>
      <family val="2"/>
    </font>
    <font>
      <sz val="10"/>
      <name val="Arial"/>
      <family val="2"/>
    </font>
    <font>
      <b/>
      <sz val="9"/>
      <name val="Arial"/>
      <family val="2"/>
    </font>
    <font>
      <b/>
      <sz val="8"/>
      <name val="Arial"/>
      <family val="2"/>
    </font>
    <font>
      <sz val="8"/>
      <name val="Arial"/>
      <family val="2"/>
    </font>
    <font>
      <sz val="10.5"/>
      <color theme="1"/>
      <name val="Arial"/>
      <family val="2"/>
    </font>
    <font>
      <b/>
      <i/>
      <sz val="10.5"/>
      <name val="Arial"/>
      <family val="2"/>
    </font>
    <font>
      <sz val="10"/>
      <color theme="1"/>
      <name val="Arial"/>
      <family val="2"/>
    </font>
    <font>
      <sz val="11"/>
      <color theme="1"/>
      <name val="Arial"/>
      <family val="2"/>
    </font>
    <font>
      <vertAlign val="superscript"/>
      <sz val="11"/>
      <name val="Arial"/>
      <family val="2"/>
    </font>
    <font>
      <b/>
      <sz val="11"/>
      <color theme="1"/>
      <name val="Arial"/>
      <family val="2"/>
    </font>
    <font>
      <sz val="9"/>
      <color indexed="81"/>
      <name val="Tahoma"/>
      <family val="2"/>
    </font>
    <font>
      <b/>
      <sz val="9"/>
      <color indexed="81"/>
      <name val="Tahoma"/>
      <family val="2"/>
    </font>
    <font>
      <i/>
      <sz val="11"/>
      <color theme="1"/>
      <name val="Arial"/>
      <family val="2"/>
    </font>
  </fonts>
  <fills count="14">
    <fill>
      <patternFill patternType="none"/>
    </fill>
    <fill>
      <patternFill patternType="gray125"/>
    </fill>
    <fill>
      <patternFill patternType="solid">
        <fgColor rgb="FF003366"/>
        <bgColor indexed="64"/>
      </patternFill>
    </fill>
    <fill>
      <patternFill patternType="solid">
        <fgColor theme="3"/>
        <bgColor indexed="64"/>
      </patternFill>
    </fill>
    <fill>
      <patternFill patternType="lightDown">
        <fgColor theme="0" tint="-0.24994659260841701"/>
        <bgColor auto="1"/>
      </patternFill>
    </fill>
    <fill>
      <patternFill patternType="lightDown">
        <fgColor theme="0" tint="-0.24994659260841701"/>
        <bgColor indexed="65"/>
      </patternFill>
    </fill>
    <fill>
      <patternFill patternType="solid">
        <fgColor rgb="FF9BD4F3"/>
        <bgColor indexed="64"/>
      </patternFill>
    </fill>
    <fill>
      <patternFill patternType="solid">
        <fgColor rgb="FF475284"/>
        <bgColor indexed="64"/>
      </patternFill>
    </fill>
    <fill>
      <patternFill patternType="solid">
        <fgColor theme="2" tint="-9.9978637043366805E-2"/>
        <bgColor indexed="64"/>
      </patternFill>
    </fill>
    <fill>
      <patternFill patternType="solid">
        <fgColor theme="5"/>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bottom style="thin">
        <color theme="0" tint="-0.499984740745262"/>
      </bottom>
      <diagonal/>
    </border>
  </borders>
  <cellStyleXfs count="17">
    <xf numFmtId="0" fontId="0" fillId="0" borderId="0"/>
    <xf numFmtId="43" fontId="4" fillId="0" borderId="0" applyFont="0" applyFill="0" applyBorder="0" applyAlignment="0" applyProtection="0"/>
    <xf numFmtId="44" fontId="4" fillId="0" borderId="0" applyFont="0" applyFill="0" applyBorder="0" applyAlignment="0" applyProtection="0"/>
    <xf numFmtId="0" fontId="6" fillId="2" borderId="1">
      <alignment horizontal="center" vertical="top"/>
    </xf>
    <xf numFmtId="0" fontId="5" fillId="0" borderId="0"/>
    <xf numFmtId="0" fontId="5" fillId="0" borderId="0"/>
    <xf numFmtId="0" fontId="11" fillId="0" borderId="0"/>
    <xf numFmtId="43" fontId="11" fillId="0" borderId="0" applyFont="0" applyFill="0" applyBorder="0" applyAlignment="0" applyProtection="0"/>
    <xf numFmtId="44" fontId="11" fillId="0" borderId="0" applyFont="0" applyFill="0" applyBorder="0" applyAlignment="0" applyProtection="0"/>
    <xf numFmtId="0" fontId="3" fillId="0" borderId="0"/>
    <xf numFmtId="0" fontId="15" fillId="0" borderId="4">
      <alignment horizontal="center" vertical="top"/>
    </xf>
    <xf numFmtId="0" fontId="15" fillId="0" borderId="4">
      <alignment horizontal="left" vertical="top"/>
    </xf>
    <xf numFmtId="0" fontId="16" fillId="11" borderId="4">
      <alignment horizontal="center" vertical="top"/>
    </xf>
    <xf numFmtId="0" fontId="2" fillId="0" borderId="0"/>
    <xf numFmtId="0" fontId="4" fillId="0" borderId="0"/>
    <xf numFmtId="0" fontId="6" fillId="2" borderId="4">
      <alignment horizontal="center" vertical="top"/>
    </xf>
    <xf numFmtId="0" fontId="1" fillId="0" borderId="0"/>
  </cellStyleXfs>
  <cellXfs count="194">
    <xf numFmtId="0" fontId="0" fillId="0" borderId="0" xfId="0"/>
    <xf numFmtId="0" fontId="7" fillId="0" borderId="0" xfId="4" applyFont="1" applyProtection="1">
      <protection locked="0"/>
    </xf>
    <xf numFmtId="0" fontId="7" fillId="0" borderId="0" xfId="0" applyFont="1" applyAlignment="1">
      <alignment horizontal="center" vertical="top"/>
    </xf>
    <xf numFmtId="164" fontId="8" fillId="0" borderId="0" xfId="2" applyNumberFormat="1" applyFont="1" applyFill="1" applyBorder="1"/>
    <xf numFmtId="0" fontId="8" fillId="0" borderId="0" xfId="0" applyFont="1"/>
    <xf numFmtId="0" fontId="7" fillId="0" borderId="0" xfId="0" applyFont="1" applyAlignment="1">
      <alignment horizontal="center" vertical="top" wrapText="1"/>
    </xf>
    <xf numFmtId="0" fontId="7" fillId="0" borderId="0" xfId="0" applyFont="1" applyAlignment="1">
      <alignment horizontal="left" vertical="top"/>
    </xf>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horizontal="center" vertical="top"/>
    </xf>
    <xf numFmtId="165" fontId="8" fillId="0" borderId="0" xfId="1" applyNumberFormat="1" applyFont="1" applyFill="1" applyBorder="1" applyAlignment="1">
      <alignment horizontal="center"/>
    </xf>
    <xf numFmtId="0" fontId="7" fillId="0" borderId="0" xfId="0" applyFont="1"/>
    <xf numFmtId="49" fontId="7" fillId="0" borderId="0" xfId="4" applyNumberFormat="1" applyFont="1" applyProtection="1">
      <protection locked="0"/>
    </xf>
    <xf numFmtId="0" fontId="9" fillId="3" borderId="2" xfId="3" applyFont="1" applyFill="1" applyBorder="1">
      <alignment horizontal="center" vertical="top"/>
    </xf>
    <xf numFmtId="0" fontId="8" fillId="0" borderId="2" xfId="0" applyFont="1" applyBorder="1" applyAlignment="1">
      <alignment horizontal="center"/>
    </xf>
    <xf numFmtId="165" fontId="8" fillId="0" borderId="2" xfId="1" applyNumberFormat="1" applyFont="1" applyFill="1" applyBorder="1" applyAlignment="1">
      <alignment horizontal="center"/>
    </xf>
    <xf numFmtId="164" fontId="8" fillId="0" borderId="2" xfId="2" applyNumberFormat="1" applyFont="1" applyFill="1" applyBorder="1" applyAlignment="1">
      <alignment horizontal="center"/>
    </xf>
    <xf numFmtId="0" fontId="7" fillId="0" borderId="2" xfId="0" applyFont="1" applyBorder="1" applyAlignment="1">
      <alignment vertical="top" wrapText="1"/>
    </xf>
    <xf numFmtId="0" fontId="8" fillId="0" borderId="2" xfId="0" applyFont="1" applyBorder="1" applyAlignment="1">
      <alignment vertical="top" wrapText="1"/>
    </xf>
    <xf numFmtId="165" fontId="8" fillId="5" borderId="2" xfId="1" applyNumberFormat="1" applyFont="1" applyFill="1" applyBorder="1" applyAlignment="1">
      <alignment horizontal="center"/>
    </xf>
    <xf numFmtId="9" fontId="8" fillId="0" borderId="2" xfId="2" applyNumberFormat="1" applyFont="1" applyFill="1" applyBorder="1" applyAlignment="1">
      <alignment horizontal="center"/>
    </xf>
    <xf numFmtId="0" fontId="8" fillId="6" borderId="2" xfId="0" applyFont="1" applyFill="1" applyBorder="1"/>
    <xf numFmtId="164" fontId="8" fillId="6" borderId="2" xfId="0" applyNumberFormat="1" applyFont="1" applyFill="1" applyBorder="1"/>
    <xf numFmtId="0" fontId="7" fillId="0" borderId="3" xfId="0" applyFont="1" applyBorder="1" applyAlignment="1">
      <alignment vertical="top" wrapText="1"/>
    </xf>
    <xf numFmtId="165" fontId="8" fillId="0" borderId="3" xfId="1" applyNumberFormat="1" applyFont="1" applyFill="1" applyBorder="1" applyAlignment="1">
      <alignment horizontal="center"/>
    </xf>
    <xf numFmtId="9" fontId="8" fillId="0" borderId="3" xfId="2" applyNumberFormat="1" applyFont="1" applyFill="1" applyBorder="1" applyAlignment="1">
      <alignment horizontal="center"/>
    </xf>
    <xf numFmtId="164" fontId="8" fillId="0" borderId="3" xfId="0" applyNumberFormat="1" applyFont="1" applyBorder="1"/>
    <xf numFmtId="164" fontId="8" fillId="0" borderId="2" xfId="2" applyNumberFormat="1" applyFont="1" applyFill="1" applyBorder="1"/>
    <xf numFmtId="0" fontId="9" fillId="7" borderId="2" xfId="0" applyFont="1" applyFill="1" applyBorder="1" applyAlignment="1">
      <alignment vertical="top" wrapText="1"/>
    </xf>
    <xf numFmtId="165" fontId="10" fillId="7" borderId="2" xfId="1" applyNumberFormat="1" applyFont="1" applyFill="1" applyBorder="1" applyAlignment="1">
      <alignment horizontal="center"/>
    </xf>
    <xf numFmtId="164" fontId="10" fillId="7" borderId="2" xfId="2" applyNumberFormat="1" applyFont="1" applyFill="1" applyBorder="1"/>
    <xf numFmtId="164" fontId="9" fillId="7" borderId="2" xfId="2" applyNumberFormat="1" applyFont="1" applyFill="1" applyBorder="1"/>
    <xf numFmtId="0" fontId="9" fillId="7" borderId="2" xfId="0" applyFont="1" applyFill="1" applyBorder="1" applyAlignment="1">
      <alignment vertical="top"/>
    </xf>
    <xf numFmtId="164" fontId="10" fillId="7" borderId="2" xfId="2" applyNumberFormat="1" applyFont="1" applyFill="1" applyBorder="1" applyAlignment="1">
      <alignment horizontal="center"/>
    </xf>
    <xf numFmtId="164" fontId="10" fillId="7" borderId="2" xfId="0" applyNumberFormat="1" applyFont="1" applyFill="1" applyBorder="1" applyAlignment="1">
      <alignment horizontal="center"/>
    </xf>
    <xf numFmtId="0" fontId="10" fillId="7" borderId="2" xfId="0" applyFont="1" applyFill="1" applyBorder="1" applyAlignment="1">
      <alignment horizontal="center"/>
    </xf>
    <xf numFmtId="164" fontId="9" fillId="7" borderId="2" xfId="0" applyNumberFormat="1" applyFont="1" applyFill="1" applyBorder="1" applyAlignment="1">
      <alignment horizontal="center"/>
    </xf>
    <xf numFmtId="0" fontId="8" fillId="0" borderId="3" xfId="0" applyFont="1" applyBorder="1" applyAlignment="1">
      <alignment horizontal="center"/>
    </xf>
    <xf numFmtId="0" fontId="8" fillId="0" borderId="0" xfId="0" applyFont="1" applyAlignment="1">
      <alignment horizontal="center" vertical="top" wrapText="1"/>
    </xf>
    <xf numFmtId="0" fontId="11" fillId="0" borderId="0" xfId="6"/>
    <xf numFmtId="165" fontId="11" fillId="0" borderId="0" xfId="7" applyNumberFormat="1" applyFill="1" applyBorder="1" applyAlignment="1">
      <alignment horizontal="center"/>
    </xf>
    <xf numFmtId="164" fontId="11" fillId="0" borderId="0" xfId="8" applyNumberFormat="1" applyFill="1" applyBorder="1"/>
    <xf numFmtId="0" fontId="11" fillId="0" borderId="0" xfId="6" applyAlignment="1">
      <alignment vertical="top" wrapText="1"/>
    </xf>
    <xf numFmtId="0" fontId="13" fillId="0" borderId="0" xfId="0" applyFont="1" applyAlignment="1">
      <alignment horizontal="center"/>
    </xf>
    <xf numFmtId="0" fontId="13" fillId="0" borderId="0" xfId="6" applyFont="1" applyAlignment="1">
      <alignment horizontal="center"/>
    </xf>
    <xf numFmtId="0" fontId="14" fillId="0" borderId="0" xfId="6" applyFont="1"/>
    <xf numFmtId="0" fontId="14" fillId="0" borderId="0" xfId="0" applyFont="1" applyAlignment="1">
      <alignment horizontal="left"/>
    </xf>
    <xf numFmtId="0" fontId="14" fillId="0" borderId="0" xfId="0" applyFont="1" applyAlignment="1">
      <alignment horizontal="center"/>
    </xf>
    <xf numFmtId="168" fontId="14" fillId="0" borderId="0" xfId="0" applyNumberFormat="1" applyFont="1"/>
    <xf numFmtId="165" fontId="14" fillId="0" borderId="0" xfId="7" applyNumberFormat="1" applyFont="1" applyFill="1" applyBorder="1" applyAlignment="1">
      <alignment horizontal="center"/>
    </xf>
    <xf numFmtId="164" fontId="14" fillId="0" borderId="0" xfId="8" applyNumberFormat="1" applyFont="1" applyFill="1" applyBorder="1"/>
    <xf numFmtId="2" fontId="14" fillId="0" borderId="0" xfId="0" applyNumberFormat="1" applyFont="1"/>
    <xf numFmtId="2" fontId="14" fillId="0" borderId="0" xfId="0" applyNumberFormat="1" applyFont="1" applyProtection="1">
      <protection locked="0"/>
    </xf>
    <xf numFmtId="44" fontId="8" fillId="0" borderId="2" xfId="0" applyNumberFormat="1" applyFont="1" applyBorder="1" applyAlignment="1">
      <alignment horizontal="center"/>
    </xf>
    <xf numFmtId="42" fontId="8" fillId="0" borderId="0" xfId="0" applyNumberFormat="1" applyFont="1" applyAlignment="1">
      <alignment horizontal="center" vertical="top"/>
    </xf>
    <xf numFmtId="42" fontId="8" fillId="0" borderId="0" xfId="0" applyNumberFormat="1" applyFont="1" applyAlignment="1">
      <alignment horizontal="center"/>
    </xf>
    <xf numFmtId="42" fontId="9" fillId="3" borderId="2" xfId="3" applyNumberFormat="1" applyFont="1" applyFill="1" applyBorder="1">
      <alignment horizontal="center" vertical="top"/>
    </xf>
    <xf numFmtId="42" fontId="8" fillId="0" borderId="2" xfId="0" applyNumberFormat="1" applyFont="1" applyBorder="1" applyAlignment="1">
      <alignment horizontal="center"/>
    </xf>
    <xf numFmtId="42" fontId="8" fillId="0" borderId="3" xfId="0" applyNumberFormat="1" applyFont="1" applyBorder="1" applyAlignment="1">
      <alignment horizontal="center"/>
    </xf>
    <xf numFmtId="42" fontId="10" fillId="7" borderId="2" xfId="0" applyNumberFormat="1" applyFont="1" applyFill="1" applyBorder="1" applyAlignment="1">
      <alignment horizontal="center"/>
    </xf>
    <xf numFmtId="164" fontId="8" fillId="0" borderId="0" xfId="2" applyNumberFormat="1" applyFont="1" applyFill="1" applyBorder="1" applyAlignment="1"/>
    <xf numFmtId="0" fontId="8" fillId="0" borderId="2" xfId="0" applyFont="1" applyBorder="1" applyAlignment="1">
      <alignment wrapText="1"/>
    </xf>
    <xf numFmtId="0" fontId="7" fillId="0" borderId="2" xfId="0" applyFont="1" applyBorder="1" applyAlignment="1">
      <alignment wrapText="1"/>
    </xf>
    <xf numFmtId="164" fontId="8" fillId="0" borderId="2" xfId="2" applyNumberFormat="1" applyFont="1" applyFill="1" applyBorder="1" applyAlignment="1"/>
    <xf numFmtId="164" fontId="10" fillId="7" borderId="2" xfId="2" applyNumberFormat="1" applyFont="1" applyFill="1" applyBorder="1" applyAlignment="1"/>
    <xf numFmtId="164" fontId="9" fillId="7" borderId="2" xfId="2" applyNumberFormat="1" applyFont="1" applyFill="1" applyBorder="1" applyAlignment="1"/>
    <xf numFmtId="164" fontId="8" fillId="8" borderId="2" xfId="2" applyNumberFormat="1" applyFont="1" applyFill="1" applyBorder="1" applyAlignment="1">
      <alignment horizontal="center"/>
    </xf>
    <xf numFmtId="164" fontId="8" fillId="8" borderId="2" xfId="0" applyNumberFormat="1" applyFont="1" applyFill="1" applyBorder="1" applyAlignment="1">
      <alignment horizontal="center"/>
    </xf>
    <xf numFmtId="0" fontId="8" fillId="8" borderId="2" xfId="0" applyFont="1" applyFill="1" applyBorder="1" applyAlignment="1">
      <alignment horizontal="center"/>
    </xf>
    <xf numFmtId="164" fontId="7" fillId="8" borderId="2" xfId="0" applyNumberFormat="1" applyFont="1" applyFill="1" applyBorder="1" applyAlignment="1">
      <alignment horizontal="center"/>
    </xf>
    <xf numFmtId="0" fontId="7" fillId="9" borderId="2" xfId="0" applyFont="1" applyFill="1" applyBorder="1" applyAlignment="1">
      <alignment wrapText="1"/>
    </xf>
    <xf numFmtId="165" fontId="8" fillId="9" borderId="2" xfId="1" applyNumberFormat="1" applyFont="1" applyFill="1" applyBorder="1" applyAlignment="1">
      <alignment horizontal="center"/>
    </xf>
    <xf numFmtId="0" fontId="8" fillId="9" borderId="2" xfId="0" applyFont="1" applyFill="1" applyBorder="1" applyAlignment="1">
      <alignment horizontal="center"/>
    </xf>
    <xf numFmtId="44" fontId="8" fillId="9" borderId="2" xfId="0" applyNumberFormat="1" applyFont="1" applyFill="1" applyBorder="1" applyAlignment="1">
      <alignment horizontal="center"/>
    </xf>
    <xf numFmtId="164" fontId="8" fillId="9" borderId="2" xfId="2" applyNumberFormat="1" applyFont="1" applyFill="1" applyBorder="1" applyAlignment="1">
      <alignment horizontal="center"/>
    </xf>
    <xf numFmtId="164" fontId="8" fillId="10" borderId="2" xfId="2" applyNumberFormat="1" applyFont="1" applyFill="1" applyBorder="1" applyAlignment="1">
      <alignment horizontal="center"/>
    </xf>
    <xf numFmtId="164" fontId="8" fillId="10" borderId="2" xfId="0" applyNumberFormat="1" applyFont="1" applyFill="1" applyBorder="1" applyAlignment="1">
      <alignment horizontal="center"/>
    </xf>
    <xf numFmtId="164" fontId="7" fillId="10" borderId="2" xfId="0" applyNumberFormat="1" applyFont="1" applyFill="1" applyBorder="1" applyAlignment="1">
      <alignment horizontal="center"/>
    </xf>
    <xf numFmtId="0" fontId="7" fillId="9" borderId="2" xfId="0" applyFont="1" applyFill="1" applyBorder="1" applyAlignment="1">
      <alignment vertical="top" wrapText="1"/>
    </xf>
    <xf numFmtId="42" fontId="8" fillId="9" borderId="2" xfId="0" applyNumberFormat="1" applyFont="1" applyFill="1" applyBorder="1" applyAlignment="1">
      <alignment horizontal="center"/>
    </xf>
    <xf numFmtId="164" fontId="8" fillId="9" borderId="2" xfId="0" applyNumberFormat="1" applyFont="1" applyFill="1" applyBorder="1"/>
    <xf numFmtId="0" fontId="7" fillId="8" borderId="2" xfId="0" applyFont="1" applyFill="1" applyBorder="1" applyAlignment="1">
      <alignment vertical="top" wrapText="1"/>
    </xf>
    <xf numFmtId="42" fontId="8" fillId="8" borderId="2" xfId="0" applyNumberFormat="1" applyFont="1" applyFill="1" applyBorder="1" applyAlignment="1">
      <alignment horizontal="center"/>
    </xf>
    <xf numFmtId="42" fontId="8" fillId="10" borderId="2" xfId="0" applyNumberFormat="1" applyFont="1" applyFill="1" applyBorder="1" applyAlignment="1">
      <alignment horizontal="center"/>
    </xf>
    <xf numFmtId="0" fontId="7" fillId="10" borderId="2" xfId="0" applyFont="1" applyFill="1" applyBorder="1" applyAlignment="1">
      <alignment vertical="top" wrapText="1"/>
    </xf>
    <xf numFmtId="0" fontId="17" fillId="0" borderId="0" xfId="13" applyFont="1" applyAlignment="1">
      <alignment vertical="top"/>
    </xf>
    <xf numFmtId="49" fontId="9" fillId="3" borderId="2" xfId="3" applyNumberFormat="1" applyFont="1" applyFill="1" applyBorder="1" applyAlignment="1">
      <alignment horizontal="left" vertical="top" indent="1"/>
    </xf>
    <xf numFmtId="49" fontId="7" fillId="8" borderId="2" xfId="1" applyNumberFormat="1" applyFont="1" applyFill="1" applyBorder="1" applyAlignment="1">
      <alignment horizontal="left" vertical="top" indent="1"/>
    </xf>
    <xf numFmtId="49" fontId="7" fillId="0" borderId="2" xfId="1" applyNumberFormat="1" applyFont="1" applyFill="1" applyBorder="1" applyAlignment="1">
      <alignment horizontal="left" vertical="top" indent="1"/>
    </xf>
    <xf numFmtId="49" fontId="8" fillId="0" borderId="3" xfId="1" applyNumberFormat="1" applyFont="1" applyFill="1" applyBorder="1" applyAlignment="1">
      <alignment horizontal="left" vertical="top" indent="1"/>
    </xf>
    <xf numFmtId="49" fontId="7" fillId="9" borderId="2" xfId="1" applyNumberFormat="1" applyFont="1" applyFill="1" applyBorder="1" applyAlignment="1">
      <alignment horizontal="left" vertical="top" indent="1"/>
    </xf>
    <xf numFmtId="49" fontId="8" fillId="0" borderId="2" xfId="1" applyNumberFormat="1" applyFont="1" applyFill="1" applyBorder="1" applyAlignment="1">
      <alignment horizontal="left" vertical="top" indent="1"/>
    </xf>
    <xf numFmtId="49" fontId="7" fillId="10" borderId="2" xfId="1" applyNumberFormat="1" applyFont="1" applyFill="1" applyBorder="1" applyAlignment="1">
      <alignment horizontal="left" vertical="top" indent="1"/>
    </xf>
    <xf numFmtId="49" fontId="9" fillId="7" borderId="2" xfId="1" applyNumberFormat="1" applyFont="1" applyFill="1" applyBorder="1" applyAlignment="1">
      <alignment horizontal="left" vertical="top" indent="1"/>
    </xf>
    <xf numFmtId="49" fontId="8" fillId="0" borderId="0" xfId="1" applyNumberFormat="1" applyFont="1" applyFill="1" applyBorder="1" applyAlignment="1">
      <alignment horizontal="left" vertical="top" indent="1"/>
    </xf>
    <xf numFmtId="49" fontId="11" fillId="0" borderId="0" xfId="7" applyNumberFormat="1" applyFill="1" applyBorder="1" applyAlignment="1">
      <alignment horizontal="center" vertical="top"/>
    </xf>
    <xf numFmtId="49" fontId="13" fillId="0" borderId="0" xfId="0" applyNumberFormat="1" applyFont="1" applyAlignment="1">
      <alignment horizontal="center"/>
    </xf>
    <xf numFmtId="49" fontId="14" fillId="0" borderId="0" xfId="0" applyNumberFormat="1" applyFont="1" applyAlignment="1">
      <alignment horizontal="left"/>
    </xf>
    <xf numFmtId="49" fontId="14" fillId="0" borderId="0" xfId="7" applyNumberFormat="1" applyFont="1" applyFill="1" applyBorder="1" applyAlignment="1">
      <alignment horizontal="center" vertical="top"/>
    </xf>
    <xf numFmtId="49" fontId="7" fillId="0" borderId="0" xfId="14" applyNumberFormat="1" applyFont="1" applyProtection="1">
      <protection locked="0"/>
    </xf>
    <xf numFmtId="0" fontId="7" fillId="0" borderId="0" xfId="14" applyFont="1" applyAlignment="1">
      <alignment horizontal="center"/>
    </xf>
    <xf numFmtId="0" fontId="8" fillId="0" borderId="0" xfId="14" applyFont="1" applyAlignment="1">
      <alignment horizontal="center"/>
    </xf>
    <xf numFmtId="44" fontId="8" fillId="0" borderId="0" xfId="14" applyNumberFormat="1" applyFont="1" applyAlignment="1">
      <alignment horizontal="center"/>
    </xf>
    <xf numFmtId="0" fontId="8" fillId="0" borderId="0" xfId="14" applyFont="1"/>
    <xf numFmtId="0" fontId="7" fillId="0" borderId="0" xfId="14" applyFont="1" applyProtection="1">
      <protection locked="0"/>
    </xf>
    <xf numFmtId="0" fontId="7" fillId="0" borderId="0" xfId="14" applyFont="1" applyAlignment="1">
      <alignment horizontal="center" wrapText="1"/>
    </xf>
    <xf numFmtId="0" fontId="8" fillId="0" borderId="0" xfId="14" applyFont="1" applyAlignment="1">
      <alignment horizontal="center" wrapText="1"/>
    </xf>
    <xf numFmtId="0" fontId="8" fillId="0" borderId="0" xfId="14" applyFont="1" applyProtection="1">
      <protection locked="0"/>
    </xf>
    <xf numFmtId="0" fontId="7" fillId="0" borderId="0" xfId="14" applyFont="1" applyAlignment="1">
      <alignment horizontal="left"/>
    </xf>
    <xf numFmtId="49" fontId="7" fillId="0" borderId="0" xfId="14" applyNumberFormat="1" applyFont="1" applyAlignment="1" applyProtection="1">
      <alignment horizontal="left" indent="1"/>
      <protection locked="0"/>
    </xf>
    <xf numFmtId="49" fontId="9" fillId="3" borderId="2" xfId="15" applyNumberFormat="1" applyFont="1" applyFill="1" applyBorder="1" applyAlignment="1">
      <alignment horizontal="left" vertical="top" indent="1"/>
    </xf>
    <xf numFmtId="0" fontId="9" fillId="3" borderId="2" xfId="15" applyFont="1" applyFill="1" applyBorder="1" applyAlignment="1">
      <alignment horizontal="center"/>
    </xf>
    <xf numFmtId="44" fontId="9" fillId="3" borderId="2" xfId="15" applyNumberFormat="1" applyFont="1" applyFill="1" applyBorder="1" applyAlignment="1">
      <alignment horizontal="center"/>
    </xf>
    <xf numFmtId="0" fontId="8" fillId="0" borderId="0" xfId="14" applyFont="1" applyAlignment="1">
      <alignment horizontal="center" vertical="center"/>
    </xf>
    <xf numFmtId="0" fontId="8" fillId="0" borderId="2" xfId="14" applyFont="1" applyBorder="1" applyAlignment="1">
      <alignment horizontal="left" wrapText="1"/>
    </xf>
    <xf numFmtId="0" fontId="8" fillId="4" borderId="2" xfId="14" applyFont="1" applyFill="1" applyBorder="1" applyAlignment="1">
      <alignment horizontal="center"/>
    </xf>
    <xf numFmtId="44" fontId="8" fillId="4" borderId="2" xfId="14" applyNumberFormat="1" applyFont="1" applyFill="1" applyBorder="1" applyAlignment="1">
      <alignment horizontal="center"/>
    </xf>
    <xf numFmtId="0" fontId="8" fillId="6" borderId="2" xfId="14" applyFont="1" applyFill="1" applyBorder="1" applyAlignment="1">
      <alignment horizontal="center"/>
    </xf>
    <xf numFmtId="0" fontId="7" fillId="0" borderId="3" xfId="14" applyFont="1" applyBorder="1" applyAlignment="1">
      <alignment wrapText="1"/>
    </xf>
    <xf numFmtId="0" fontId="8" fillId="0" borderId="3" xfId="14" applyFont="1" applyBorder="1" applyAlignment="1">
      <alignment horizontal="center"/>
    </xf>
    <xf numFmtId="44" fontId="8" fillId="0" borderId="3" xfId="14" applyNumberFormat="1" applyFont="1" applyBorder="1" applyAlignment="1">
      <alignment horizontal="center"/>
    </xf>
    <xf numFmtId="164" fontId="8" fillId="0" borderId="3" xfId="14" applyNumberFormat="1" applyFont="1" applyBorder="1"/>
    <xf numFmtId="164" fontId="8" fillId="5" borderId="2" xfId="14" applyNumberFormat="1" applyFont="1" applyFill="1" applyBorder="1" applyAlignment="1">
      <alignment horizontal="center"/>
    </xf>
    <xf numFmtId="44" fontId="8" fillId="5" borderId="2" xfId="14" applyNumberFormat="1" applyFont="1" applyFill="1" applyBorder="1" applyAlignment="1">
      <alignment horizontal="center"/>
    </xf>
    <xf numFmtId="164" fontId="8" fillId="6" borderId="2" xfId="14" applyNumberFormat="1" applyFont="1" applyFill="1" applyBorder="1" applyAlignment="1">
      <alignment horizontal="center"/>
    </xf>
    <xf numFmtId="0" fontId="8" fillId="5" borderId="2" xfId="14" applyFont="1" applyFill="1" applyBorder="1" applyAlignment="1">
      <alignment horizontal="center"/>
    </xf>
    <xf numFmtId="0" fontId="7" fillId="0" borderId="0" xfId="14" applyFont="1"/>
    <xf numFmtId="0" fontId="8" fillId="0" borderId="2" xfId="14" applyFont="1" applyBorder="1" applyAlignment="1">
      <alignment wrapText="1"/>
    </xf>
    <xf numFmtId="0" fontId="8" fillId="0" borderId="2" xfId="14" applyFont="1" applyBorder="1" applyAlignment="1">
      <alignment horizontal="center"/>
    </xf>
    <xf numFmtId="44" fontId="8" fillId="0" borderId="2" xfId="14" applyNumberFormat="1" applyFont="1" applyBorder="1" applyAlignment="1">
      <alignment horizontal="center"/>
    </xf>
    <xf numFmtId="0" fontId="8" fillId="6" borderId="2" xfId="14" applyFont="1" applyFill="1" applyBorder="1"/>
    <xf numFmtId="164" fontId="8" fillId="6" borderId="2" xfId="14" applyNumberFormat="1" applyFont="1" applyFill="1" applyBorder="1"/>
    <xf numFmtId="42" fontId="8" fillId="0" borderId="2" xfId="14" applyNumberFormat="1" applyFont="1" applyBorder="1" applyAlignment="1">
      <alignment horizontal="center"/>
    </xf>
    <xf numFmtId="49" fontId="7" fillId="12" borderId="2" xfId="1" applyNumberFormat="1" applyFont="1" applyFill="1" applyBorder="1" applyAlignment="1">
      <alignment horizontal="left" vertical="top" indent="1"/>
    </xf>
    <xf numFmtId="0" fontId="7" fillId="12" borderId="2" xfId="14" applyFont="1" applyFill="1" applyBorder="1" applyAlignment="1">
      <alignment wrapText="1"/>
    </xf>
    <xf numFmtId="164" fontId="8" fillId="12" borderId="2" xfId="2" applyNumberFormat="1" applyFont="1" applyFill="1" applyBorder="1" applyAlignment="1">
      <alignment horizontal="center"/>
    </xf>
    <xf numFmtId="164" fontId="8" fillId="12" borderId="2" xfId="14" applyNumberFormat="1" applyFont="1" applyFill="1" applyBorder="1" applyAlignment="1">
      <alignment horizontal="center"/>
    </xf>
    <xf numFmtId="44" fontId="8" fillId="12" borderId="2" xfId="14" applyNumberFormat="1" applyFont="1" applyFill="1" applyBorder="1" applyAlignment="1">
      <alignment horizontal="center"/>
    </xf>
    <xf numFmtId="164" fontId="7" fillId="12" borderId="2" xfId="14" applyNumberFormat="1" applyFont="1" applyFill="1" applyBorder="1" applyAlignment="1">
      <alignment horizontal="center"/>
    </xf>
    <xf numFmtId="0" fontId="7" fillId="0" borderId="2" xfId="14" applyFont="1" applyBorder="1" applyAlignment="1">
      <alignment wrapText="1"/>
    </xf>
    <xf numFmtId="0" fontId="9" fillId="7" borderId="2" xfId="14" applyFont="1" applyFill="1" applyBorder="1"/>
    <xf numFmtId="164" fontId="10" fillId="7" borderId="2" xfId="14" applyNumberFormat="1" applyFont="1" applyFill="1" applyBorder="1" applyAlignment="1">
      <alignment horizontal="center"/>
    </xf>
    <xf numFmtId="44" fontId="10" fillId="7" borderId="2" xfId="14" applyNumberFormat="1" applyFont="1" applyFill="1" applyBorder="1" applyAlignment="1">
      <alignment horizontal="center"/>
    </xf>
    <xf numFmtId="0" fontId="10" fillId="7" borderId="2" xfId="14" applyFont="1" applyFill="1" applyBorder="1" applyAlignment="1">
      <alignment horizontal="center"/>
    </xf>
    <xf numFmtId="164" fontId="9" fillId="7" borderId="2" xfId="14" applyNumberFormat="1" applyFont="1" applyFill="1" applyBorder="1" applyAlignment="1">
      <alignment horizontal="center"/>
    </xf>
    <xf numFmtId="0" fontId="9" fillId="7" borderId="2" xfId="14" applyFont="1" applyFill="1" applyBorder="1" applyAlignment="1">
      <alignment wrapText="1"/>
    </xf>
    <xf numFmtId="0" fontId="8" fillId="0" borderId="0" xfId="14" applyFont="1" applyAlignment="1">
      <alignment wrapText="1"/>
    </xf>
    <xf numFmtId="0" fontId="7" fillId="8" borderId="2" xfId="14" applyFont="1" applyFill="1" applyBorder="1" applyAlignment="1">
      <alignment wrapText="1"/>
    </xf>
    <xf numFmtId="164" fontId="8" fillId="8" borderId="2" xfId="14" applyNumberFormat="1" applyFont="1" applyFill="1" applyBorder="1" applyAlignment="1">
      <alignment horizontal="center"/>
    </xf>
    <xf numFmtId="44" fontId="8" fillId="8" borderId="2" xfId="14" applyNumberFormat="1" applyFont="1" applyFill="1" applyBorder="1" applyAlignment="1">
      <alignment horizontal="center"/>
    </xf>
    <xf numFmtId="0" fontId="8" fillId="8" borderId="2" xfId="14" applyFont="1" applyFill="1" applyBorder="1" applyAlignment="1">
      <alignment horizontal="center"/>
    </xf>
    <xf numFmtId="164" fontId="7" fillId="8" borderId="2" xfId="14" applyNumberFormat="1" applyFont="1" applyFill="1" applyBorder="1" applyAlignment="1">
      <alignment horizontal="center"/>
    </xf>
    <xf numFmtId="0" fontId="7" fillId="8" borderId="2" xfId="14" applyFont="1" applyFill="1" applyBorder="1" applyAlignment="1">
      <alignment horizontal="left" wrapText="1"/>
    </xf>
    <xf numFmtId="164" fontId="7" fillId="8" borderId="2" xfId="14" applyNumberFormat="1" applyFont="1" applyFill="1" applyBorder="1" applyAlignment="1">
      <alignment horizontal="left"/>
    </xf>
    <xf numFmtId="0" fontId="7" fillId="9" borderId="2" xfId="14" applyFont="1" applyFill="1" applyBorder="1" applyAlignment="1">
      <alignment wrapText="1"/>
    </xf>
    <xf numFmtId="0" fontId="8" fillId="9" borderId="2" xfId="14" applyFont="1" applyFill="1" applyBorder="1" applyAlignment="1">
      <alignment horizontal="center"/>
    </xf>
    <xf numFmtId="44" fontId="8" fillId="9" borderId="2" xfId="14" applyNumberFormat="1" applyFont="1" applyFill="1" applyBorder="1" applyAlignment="1">
      <alignment horizontal="center"/>
    </xf>
    <xf numFmtId="164" fontId="8" fillId="9" borderId="2" xfId="14" applyNumberFormat="1" applyFont="1" applyFill="1" applyBorder="1"/>
    <xf numFmtId="0" fontId="7" fillId="9" borderId="2" xfId="14" applyFont="1" applyFill="1" applyBorder="1" applyAlignment="1">
      <alignment horizontal="left" wrapText="1"/>
    </xf>
    <xf numFmtId="0" fontId="8" fillId="9" borderId="2" xfId="14" applyFont="1" applyFill="1" applyBorder="1" applyAlignment="1">
      <alignment horizontal="center" wrapText="1"/>
    </xf>
    <xf numFmtId="0" fontId="7" fillId="10" borderId="2" xfId="0" applyFont="1" applyFill="1" applyBorder="1" applyAlignment="1">
      <alignment horizontal="right" wrapText="1"/>
    </xf>
    <xf numFmtId="166" fontId="7" fillId="0" borderId="0" xfId="4" applyNumberFormat="1" applyFont="1" applyProtection="1">
      <protection locked="0"/>
    </xf>
    <xf numFmtId="0" fontId="17" fillId="0" borderId="0" xfId="16" applyFont="1"/>
    <xf numFmtId="0" fontId="17" fillId="0" borderId="0" xfId="16" applyFont="1" applyAlignment="1">
      <alignment horizontal="left" vertical="center" indent="1"/>
    </xf>
    <xf numFmtId="0" fontId="17" fillId="0" borderId="0" xfId="16" applyFont="1" applyAlignment="1">
      <alignment horizontal="left" vertical="center" indent="2"/>
    </xf>
    <xf numFmtId="0" fontId="7" fillId="9" borderId="2" xfId="0" applyFont="1" applyFill="1" applyBorder="1" applyAlignment="1">
      <alignment horizontal="left" vertical="center" wrapText="1"/>
    </xf>
    <xf numFmtId="169" fontId="8" fillId="0" borderId="2" xfId="1" applyNumberFormat="1" applyFont="1" applyFill="1" applyBorder="1" applyAlignment="1">
      <alignment horizontal="right" vertical="center"/>
    </xf>
    <xf numFmtId="165" fontId="8" fillId="0" borderId="2" xfId="1" applyNumberFormat="1" applyFont="1" applyFill="1" applyBorder="1" applyAlignment="1">
      <alignment horizontal="center" vertical="center"/>
    </xf>
    <xf numFmtId="0" fontId="8" fillId="0" borderId="2" xfId="0" applyFont="1" applyBorder="1" applyAlignment="1">
      <alignment horizontal="center" vertical="center"/>
    </xf>
    <xf numFmtId="44" fontId="8" fillId="0" borderId="2" xfId="0" applyNumberFormat="1" applyFont="1" applyBorder="1" applyAlignment="1">
      <alignment horizontal="center" vertical="center"/>
    </xf>
    <xf numFmtId="164" fontId="8" fillId="0" borderId="2" xfId="2" applyNumberFormat="1" applyFont="1" applyFill="1" applyBorder="1" applyAlignment="1">
      <alignment horizontal="center" vertical="center"/>
    </xf>
    <xf numFmtId="0" fontId="8" fillId="0" borderId="0" xfId="0" applyFont="1" applyAlignment="1">
      <alignment vertical="center"/>
    </xf>
    <xf numFmtId="42" fontId="8" fillId="0" borderId="2" xfId="0" applyNumberFormat="1" applyFont="1" applyBorder="1" applyAlignment="1">
      <alignment horizontal="center" vertical="center"/>
    </xf>
    <xf numFmtId="0" fontId="8" fillId="0" borderId="2" xfId="14" applyFont="1" applyBorder="1" applyAlignment="1">
      <alignment horizontal="center" vertical="center"/>
    </xf>
    <xf numFmtId="44" fontId="8" fillId="0" borderId="2" xfId="14" applyNumberFormat="1" applyFont="1" applyBorder="1" applyAlignment="1">
      <alignment horizontal="center" vertical="center"/>
    </xf>
    <xf numFmtId="0" fontId="18" fillId="0" borderId="2" xfId="16" applyFont="1" applyBorder="1"/>
    <xf numFmtId="44" fontId="18" fillId="0" borderId="5" xfId="16" applyNumberFormat="1" applyFont="1" applyBorder="1"/>
    <xf numFmtId="0" fontId="17" fillId="0" borderId="6" xfId="16" applyFont="1" applyBorder="1" applyAlignment="1">
      <alignment horizontal="left" vertical="center" indent="1"/>
    </xf>
    <xf numFmtId="0" fontId="17" fillId="0" borderId="6" xfId="16" applyFont="1" applyBorder="1" applyAlignment="1">
      <alignment horizontal="left" vertical="center" indent="2"/>
    </xf>
    <xf numFmtId="0" fontId="17" fillId="0" borderId="2" xfId="16" applyFont="1" applyBorder="1" applyAlignment="1">
      <alignment vertical="center"/>
    </xf>
    <xf numFmtId="0" fontId="17" fillId="0" borderId="5" xfId="16" applyFont="1" applyBorder="1" applyAlignment="1">
      <alignment vertical="center"/>
    </xf>
    <xf numFmtId="42" fontId="7" fillId="10" borderId="2" xfId="0" applyNumberFormat="1" applyFont="1" applyFill="1" applyBorder="1" applyAlignment="1">
      <alignment horizontal="center"/>
    </xf>
    <xf numFmtId="0" fontId="20" fillId="0" borderId="0" xfId="16" applyFont="1" applyAlignment="1">
      <alignment horizontal="center" vertical="center"/>
    </xf>
    <xf numFmtId="0" fontId="20" fillId="0" borderId="0" xfId="16" applyFont="1" applyAlignment="1">
      <alignment horizontal="center" vertical="center" wrapText="1"/>
    </xf>
    <xf numFmtId="167" fontId="8" fillId="0" borderId="2" xfId="1" applyNumberFormat="1" applyFont="1" applyFill="1" applyBorder="1" applyAlignment="1">
      <alignment horizontal="center"/>
    </xf>
    <xf numFmtId="0" fontId="17" fillId="13" borderId="0" xfId="16" applyFont="1" applyFill="1"/>
    <xf numFmtId="42" fontId="17" fillId="13" borderId="0" xfId="16" applyNumberFormat="1" applyFont="1" applyFill="1"/>
    <xf numFmtId="165" fontId="8" fillId="0" borderId="7" xfId="1" applyNumberFormat="1" applyFont="1" applyFill="1" applyBorder="1" applyAlignment="1">
      <alignment horizontal="center" vertical="center" textRotation="90" wrapText="1"/>
    </xf>
    <xf numFmtId="165" fontId="8" fillId="0" borderId="0" xfId="1" applyNumberFormat="1" applyFont="1" applyFill="1" applyBorder="1" applyAlignment="1">
      <alignment horizontal="center" vertical="center" textRotation="90" wrapText="1"/>
    </xf>
    <xf numFmtId="165" fontId="8" fillId="0" borderId="8" xfId="1" applyNumberFormat="1" applyFont="1" applyFill="1" applyBorder="1" applyAlignment="1">
      <alignment horizontal="center" vertical="center" textRotation="90" wrapText="1"/>
    </xf>
    <xf numFmtId="0" fontId="18" fillId="0" borderId="7" xfId="16" applyFont="1" applyBorder="1" applyAlignment="1">
      <alignment horizontal="left" vertical="center" wrapText="1"/>
    </xf>
    <xf numFmtId="166" fontId="7" fillId="0" borderId="0" xfId="14" applyNumberFormat="1" applyFont="1" applyAlignment="1" applyProtection="1">
      <alignment horizontal="right"/>
      <protection locked="0"/>
    </xf>
    <xf numFmtId="167" fontId="12" fillId="0" borderId="0" xfId="7" applyNumberFormat="1" applyFont="1" applyFill="1" applyBorder="1" applyAlignment="1">
      <alignment horizontal="center" vertical="top"/>
    </xf>
    <xf numFmtId="166" fontId="7" fillId="0" borderId="0" xfId="4" applyNumberFormat="1" applyFont="1" applyAlignment="1" applyProtection="1">
      <alignment horizontal="right"/>
      <protection locked="0"/>
    </xf>
  </cellXfs>
  <cellStyles count="17">
    <cellStyle name="Comma" xfId="1" builtinId="3"/>
    <cellStyle name="Comma 2" xfId="7" xr:uid="{00000000-0005-0000-0000-000001000000}"/>
    <cellStyle name="Currency" xfId="2" builtinId="4"/>
    <cellStyle name="Currency 2" xfId="8" xr:uid="{00000000-0005-0000-0000-000003000000}"/>
    <cellStyle name="Normal" xfId="0" builtinId="0"/>
    <cellStyle name="Normal 10" xfId="4" xr:uid="{00000000-0005-0000-0000-000005000000}"/>
    <cellStyle name="Normal 10 2" xfId="14" xr:uid="{00000000-0005-0000-0000-000006000000}"/>
    <cellStyle name="Normal 2" xfId="9" xr:uid="{00000000-0005-0000-0000-000007000000}"/>
    <cellStyle name="Normal 3" xfId="13" xr:uid="{00000000-0005-0000-0000-000008000000}"/>
    <cellStyle name="Normal 4" xfId="16" xr:uid="{00000000-0005-0000-0000-000009000000}"/>
    <cellStyle name="Normal 7" xfId="5" xr:uid="{00000000-0005-0000-0000-00000A000000}"/>
    <cellStyle name="Normal_100699VicRoadsEstimate01" xfId="6" xr:uid="{00000000-0005-0000-0000-00000B000000}"/>
    <cellStyle name="Table Centre" xfId="10" xr:uid="{00000000-0005-0000-0000-00000C000000}"/>
    <cellStyle name="Table Left" xfId="11" xr:uid="{00000000-0005-0000-0000-00000D000000}"/>
    <cellStyle name="Tbl Heading" xfId="3" xr:uid="{00000000-0005-0000-0000-00000E000000}"/>
    <cellStyle name="Tbl Heading 2" xfId="15" xr:uid="{00000000-0005-0000-0000-00000F000000}"/>
    <cellStyle name="Tbl Last Row" xfId="12" xr:uid="{00000000-0005-0000-0000-000010000000}"/>
  </cellStyles>
  <dxfs count="10">
    <dxf>
      <fill>
        <patternFill patternType="solid">
          <bgColor rgb="FFFFFF00"/>
        </patternFill>
      </fill>
    </dxf>
    <dxf>
      <fill>
        <patternFill patternType="solid">
          <bgColor rgb="FFFFFF00"/>
        </patternFill>
      </fill>
    </dxf>
    <dxf>
      <fill>
        <patternFill>
          <bgColor rgb="FFFF0000"/>
        </patternFill>
      </fill>
    </dxf>
    <dxf>
      <fill>
        <patternFill patternType="solid">
          <bgColor rgb="FFFFFF00"/>
        </patternFill>
      </fill>
    </dxf>
    <dxf>
      <fill>
        <patternFill>
          <bgColor rgb="FFFF0000"/>
        </patternFill>
      </fill>
    </dxf>
    <dxf>
      <fill>
        <patternFill>
          <bgColor rgb="FFFF0000"/>
        </patternFill>
      </fill>
    </dxf>
    <dxf>
      <fill>
        <patternFill patternType="solid">
          <bgColor rgb="FFFFFF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9BD4F3"/>
      <color rgb="FF80A6A3"/>
      <color rgb="FF7A82AA"/>
      <color rgb="FFC0C3D7"/>
      <color rgb="FF475284"/>
      <color rgb="FFB7CFCA"/>
      <color rgb="FFECF4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244475</xdr:colOff>
      <xdr:row>1</xdr:row>
      <xdr:rowOff>15875</xdr:rowOff>
    </xdr:from>
    <xdr:to>
      <xdr:col>9</xdr:col>
      <xdr:colOff>269875</xdr:colOff>
      <xdr:row>6</xdr:row>
      <xdr:rowOff>111125</xdr:rowOff>
    </xdr:to>
    <xdr:sp macro="" textlink="">
      <xdr:nvSpPr>
        <xdr:cNvPr id="2" name="Text Box 2">
          <a:extLst>
            <a:ext uri="{FF2B5EF4-FFF2-40B4-BE49-F238E27FC236}">
              <a16:creationId xmlns:a16="http://schemas.microsoft.com/office/drawing/2014/main" id="{00000000-0008-0000-1200-000002000000}"/>
            </a:ext>
          </a:extLst>
        </xdr:cNvPr>
        <xdr:cNvSpPr txBox="1">
          <a:spLocks noChangeArrowheads="1"/>
        </xdr:cNvSpPr>
      </xdr:nvSpPr>
      <xdr:spPr bwMode="auto">
        <a:xfrm>
          <a:off x="7785100" y="206375"/>
          <a:ext cx="1470025" cy="1047750"/>
        </a:xfrm>
        <a:prstGeom prst="rect">
          <a:avLst/>
        </a:prstGeom>
        <a:solidFill>
          <a:srgbClr val="FFFF99"/>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AU" sz="900" b="0" i="0" u="none" strike="noStrike" baseline="0">
              <a:solidFill>
                <a:srgbClr val="000000"/>
              </a:solidFill>
              <a:latin typeface="Arial"/>
              <a:cs typeface="Arial"/>
            </a:rPr>
            <a:t>Rates based on tender prices for the Jam Factory Car Park, July 1998, from Magnetic, Romex, Sabar and APS Harding. Please confirm all Rates prior to use.</a:t>
          </a:r>
        </a:p>
      </xdr:txBody>
    </xdr:sp>
    <xdr:clientData fPrintsWithSheet="0"/>
  </xdr:twoCellAnchor>
</xdr:wsDr>
</file>

<file path=xl/theme/theme1.xml><?xml version="1.0" encoding="utf-8"?>
<a:theme xmlns:a="http://schemas.openxmlformats.org/drawingml/2006/main" name="Office Theme">
  <a:themeElements>
    <a:clrScheme name="Report">
      <a:dk1>
        <a:sysClr val="windowText" lastClr="000000"/>
      </a:dk1>
      <a:lt1>
        <a:sysClr val="window" lastClr="FFFFFF"/>
      </a:lt1>
      <a:dk2>
        <a:srgbClr val="003359"/>
      </a:dk2>
      <a:lt2>
        <a:srgbClr val="CFE0DB"/>
      </a:lt2>
      <a:accent1>
        <a:srgbClr val="009B48"/>
      </a:accent1>
      <a:accent2>
        <a:srgbClr val="E1E4C9"/>
      </a:accent2>
      <a:accent3>
        <a:srgbClr val="C0504D"/>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95"/>
  <sheetViews>
    <sheetView view="pageBreakPreview" topLeftCell="A69" zoomScaleNormal="100" zoomScaleSheetLayoutView="100" workbookViewId="0">
      <selection activeCell="B3" sqref="B3"/>
    </sheetView>
  </sheetViews>
  <sheetFormatPr defaultColWidth="9.140625" defaultRowHeight="12.75" x14ac:dyDescent="0.2"/>
  <cols>
    <col min="1" max="1" width="12.7109375" style="162" customWidth="1"/>
    <col min="2" max="2" width="50.7109375" style="162" customWidth="1"/>
    <col min="3" max="4" width="12.7109375" style="162" customWidth="1"/>
    <col min="5" max="6" width="15.7109375" style="162" customWidth="1"/>
    <col min="7" max="16384" width="9.140625" style="162"/>
  </cols>
  <sheetData>
    <row r="1" spans="1:6" ht="15" customHeight="1" x14ac:dyDescent="0.25">
      <c r="A1" s="1" t="s">
        <v>0</v>
      </c>
      <c r="F1" s="161">
        <v>43544</v>
      </c>
    </row>
    <row r="2" spans="1:6" ht="15" customHeight="1" x14ac:dyDescent="0.25">
      <c r="A2" s="1" t="s">
        <v>1</v>
      </c>
    </row>
    <row r="3" spans="1:6" ht="15" customHeight="1" x14ac:dyDescent="0.2"/>
    <row r="4" spans="1:6" ht="30" x14ac:dyDescent="0.2">
      <c r="A4" s="182" t="s">
        <v>2</v>
      </c>
      <c r="B4" s="182" t="s">
        <v>3</v>
      </c>
      <c r="C4" s="182" t="s">
        <v>4</v>
      </c>
      <c r="D4" s="182" t="s">
        <v>5</v>
      </c>
      <c r="E4" s="183" t="s">
        <v>6</v>
      </c>
      <c r="F4" s="183" t="s">
        <v>7</v>
      </c>
    </row>
    <row r="5" spans="1:6" ht="15" customHeight="1" x14ac:dyDescent="0.25">
      <c r="A5" s="165">
        <v>1</v>
      </c>
      <c r="B5" s="70" t="s">
        <v>8</v>
      </c>
      <c r="C5" s="71"/>
      <c r="D5" s="72"/>
      <c r="E5" s="79"/>
      <c r="F5" s="74">
        <f>SUM(F6:F11)</f>
        <v>2524299.2071999996</v>
      </c>
    </row>
    <row r="6" spans="1:6" ht="15" customHeight="1" x14ac:dyDescent="0.2">
      <c r="A6" s="177">
        <v>1.1000000000000001</v>
      </c>
      <c r="B6" s="127" t="s">
        <v>9</v>
      </c>
      <c r="C6" s="187" t="s">
        <v>10</v>
      </c>
      <c r="D6" s="173" t="s">
        <v>11</v>
      </c>
      <c r="E6" s="174"/>
      <c r="F6" s="170">
        <f>'2501_2'!F6+'2511_2'!F6+'2521_2'!F6+'2531'!F6+'2541_2'!F6+'2601_2701_4'!F6+'2708_9'!F6+'2710_1'!F6+'2717_21'!F6+'2602_2705'!F6+'2706_7'!F6+'2712_3'!F6+'2714_6'!F6+'2801_2806'!F6+'2811_5'!F6</f>
        <v>324700.57500000001</v>
      </c>
    </row>
    <row r="7" spans="1:6" ht="15" customHeight="1" x14ac:dyDescent="0.2">
      <c r="A7" s="177">
        <v>1.2</v>
      </c>
      <c r="B7" s="127" t="s">
        <v>12</v>
      </c>
      <c r="C7" s="188"/>
      <c r="D7" s="173" t="s">
        <v>11</v>
      </c>
      <c r="E7" s="174"/>
      <c r="F7" s="170">
        <f>'2501_2'!F7+'2511_2'!F7+'2521_2'!F7+'2531'!F7+'2541_2'!F7+'2601_2701_4'!F7+'2708_9'!F7+'2710_1'!F7+'2717_21'!F7+'2602_2705'!F7+'2706_7'!F7+'2712_3'!F7+'2714_6'!F7+'2801_2806'!F7+'2811_5'!F7</f>
        <v>454580.80499999999</v>
      </c>
    </row>
    <row r="8" spans="1:6" ht="15" customHeight="1" x14ac:dyDescent="0.2">
      <c r="A8" s="177">
        <v>1.3</v>
      </c>
      <c r="B8" s="127" t="s">
        <v>13</v>
      </c>
      <c r="C8" s="188"/>
      <c r="D8" s="173" t="s">
        <v>14</v>
      </c>
      <c r="E8" s="174"/>
      <c r="F8" s="170">
        <f>'2501_2'!F8+'2511_2'!F8+'2521_2'!F8+'2531'!F8+'2541_2'!F8+'2601_2701_4'!F8+'2708_9'!F8+'2710_1'!F8+'2717_21'!F8+'2602_2705'!F8+'2706_7'!F8+'2712_3'!F8+'2714_6'!F8+'2801_2806'!F8+'2811_5'!F8</f>
        <v>64000</v>
      </c>
    </row>
    <row r="9" spans="1:6" ht="15" customHeight="1" x14ac:dyDescent="0.2">
      <c r="A9" s="177">
        <v>1.4</v>
      </c>
      <c r="B9" s="127" t="s">
        <v>15</v>
      </c>
      <c r="C9" s="188"/>
      <c r="D9" s="173" t="s">
        <v>14</v>
      </c>
      <c r="E9" s="174"/>
      <c r="F9" s="170">
        <f>'2501_2'!F9+'2511_2'!F9+'2521_2'!F9+'2531'!F9+'2541_2'!F9+'2601_2701_4'!F9+'2708_9'!F9+'2710_1'!F9+'2717_21'!F9+'2602_2705'!F9+'2706_7'!F9+'2712_3'!F9+'2714_6'!F9+'2801_2806'!F9+'2811_5'!F9</f>
        <v>97900</v>
      </c>
    </row>
    <row r="10" spans="1:6" ht="15" customHeight="1" x14ac:dyDescent="0.2">
      <c r="A10" s="177">
        <v>1.5</v>
      </c>
      <c r="B10" s="127" t="s">
        <v>16</v>
      </c>
      <c r="C10" s="188"/>
      <c r="D10" s="173" t="s">
        <v>17</v>
      </c>
      <c r="E10" s="174"/>
      <c r="F10" s="170">
        <f>'2501_2'!F10+'2511_2'!F10+'2521_2'!F10+'2531'!F10+'2541_2'!F10+'2601_2701_4'!F10+'2708_9'!F10+'2710_1'!F10+'2717_21'!F10+'2602_2705'!F10+'2706_7'!F10+'2712_3'!F10+'2714_6'!F10+'2801_2806'!F10+'2811_5'!F10</f>
        <v>1139678.9279999998</v>
      </c>
    </row>
    <row r="11" spans="1:6" ht="15" customHeight="1" x14ac:dyDescent="0.2">
      <c r="A11" s="177">
        <v>1.6</v>
      </c>
      <c r="B11" s="127" t="s">
        <v>18</v>
      </c>
      <c r="C11" s="188"/>
      <c r="D11" s="173" t="s">
        <v>17</v>
      </c>
      <c r="E11" s="174"/>
      <c r="F11" s="170">
        <f>'2501_2'!F11+'2511_2'!F11+'2521_2'!F11+'2531'!F11+'2541_2'!F11+'2601_2701_4'!F11+'2708_9'!F11+'2710_1'!F11+'2717_21'!F11+'2602_2705'!F11+'2706_7'!F11+'2712_3'!F11+'2714_6'!F11+'2801_2806'!F11+'2811_5'!F11</f>
        <v>443438.89920000004</v>
      </c>
    </row>
    <row r="12" spans="1:6" ht="15" customHeight="1" x14ac:dyDescent="0.25">
      <c r="A12" s="165">
        <v>2</v>
      </c>
      <c r="B12" s="70" t="s">
        <v>19</v>
      </c>
      <c r="C12" s="188"/>
      <c r="D12" s="72"/>
      <c r="E12" s="79"/>
      <c r="F12" s="74">
        <f>SUM(F14:F30)</f>
        <v>9935745.040000001</v>
      </c>
    </row>
    <row r="13" spans="1:6" ht="15" customHeight="1" x14ac:dyDescent="0.25">
      <c r="A13" s="163">
        <v>2.1</v>
      </c>
      <c r="B13" s="62" t="s">
        <v>20</v>
      </c>
      <c r="C13" s="188"/>
      <c r="D13" s="168"/>
      <c r="E13" s="172"/>
      <c r="F13" s="170"/>
    </row>
    <row r="14" spans="1:6" ht="15" customHeight="1" x14ac:dyDescent="0.2">
      <c r="A14" s="164" t="s">
        <v>21</v>
      </c>
      <c r="B14" s="127" t="s">
        <v>22</v>
      </c>
      <c r="C14" s="188"/>
      <c r="D14" s="173" t="s">
        <v>11</v>
      </c>
      <c r="E14" s="174"/>
      <c r="F14" s="170">
        <f>'2501_2'!F14+'2511_2'!F14+'2521_2'!F14+'2531'!F14+'2541_2'!F14+'2601_2701_4'!F14+'2708_9'!F14+'2710_1'!F14+'2717_21'!F14+'2602_2705'!F14+'2706_7'!F14+'2712_3'!F14+'2714_6'!F14+'2801_2806'!F14+'2811_5'!F14</f>
        <v>1522856.0250000001</v>
      </c>
    </row>
    <row r="15" spans="1:6" ht="15" customHeight="1" x14ac:dyDescent="0.2">
      <c r="A15" s="164" t="s">
        <v>23</v>
      </c>
      <c r="B15" s="127" t="s">
        <v>24</v>
      </c>
      <c r="C15" s="188"/>
      <c r="D15" s="173" t="s">
        <v>11</v>
      </c>
      <c r="E15" s="174"/>
      <c r="F15" s="170">
        <f>'2501_2'!F15+'2511_2'!F15+'2521_2'!F15+'2531'!F15+'2541_2'!F15+'2601_2701_4'!F15+'2708_9'!F15+'2710_1'!F15+'2717_21'!F15+'2602_2705'!F15+'2706_7'!F15+'2712_3'!F15+'2714_6'!F15+'2801_2806'!F15+'2811_5'!F15</f>
        <v>2425289.2250000001</v>
      </c>
    </row>
    <row r="16" spans="1:6" ht="15" customHeight="1" x14ac:dyDescent="0.2">
      <c r="A16" s="164" t="s">
        <v>25</v>
      </c>
      <c r="B16" s="127" t="s">
        <v>26</v>
      </c>
      <c r="C16" s="188"/>
      <c r="D16" s="173" t="s">
        <v>11</v>
      </c>
      <c r="E16" s="174"/>
      <c r="F16" s="170">
        <f>'2501_2'!F16+'2511_2'!F16+'2521_2'!F16+'2531'!F16+'2541_2'!F16+'2601_2701_4'!F16+'2708_9'!F16+'2710_1'!F16+'2717_21'!F16+'2602_2705'!F16+'2706_7'!F16+'2712_3'!F16+'2714_6'!F16+'2801_2806'!F16+'2811_5'!F16</f>
        <v>2794904.3250000002</v>
      </c>
    </row>
    <row r="17" spans="1:6" ht="15" customHeight="1" x14ac:dyDescent="0.2">
      <c r="A17" s="164" t="s">
        <v>27</v>
      </c>
      <c r="B17" s="127" t="s">
        <v>28</v>
      </c>
      <c r="C17" s="188"/>
      <c r="D17" s="173" t="s">
        <v>11</v>
      </c>
      <c r="E17" s="174"/>
      <c r="F17" s="170">
        <f>'2501_2'!F17+'2511_2'!F17+'2521_2'!F17+'2531'!F17+'2541_2'!F17+'2601_2701_4'!F17+'2708_9'!F17+'2710_1'!F17+'2717_21'!F17+'2602_2705'!F17+'2706_7'!F17+'2712_3'!F17+'2714_6'!F17+'2801_2806'!F17+'2811_5'!F17</f>
        <v>311989.32000000007</v>
      </c>
    </row>
    <row r="18" spans="1:6" ht="15" customHeight="1" x14ac:dyDescent="0.2">
      <c r="A18" s="164" t="s">
        <v>29</v>
      </c>
      <c r="B18" s="127" t="s">
        <v>30</v>
      </c>
      <c r="C18" s="188"/>
      <c r="D18" s="173" t="s">
        <v>11</v>
      </c>
      <c r="E18" s="174"/>
      <c r="F18" s="170">
        <f>'2501_2'!F18+'2511_2'!F18+'2521_2'!F18+'2531'!F18+'2541_2'!F18+'2601_2701_4'!F18+'2708_9'!F18+'2710_1'!F18+'2717_21'!F18+'2602_2705'!F18+'2706_7'!F18+'2712_3'!F18+'2714_6'!F18+'2801_2806'!F18+'2811_5'!F18</f>
        <v>714975.52499999991</v>
      </c>
    </row>
    <row r="19" spans="1:6" ht="15" customHeight="1" x14ac:dyDescent="0.25">
      <c r="A19" s="163">
        <v>2.2000000000000002</v>
      </c>
      <c r="B19" s="62" t="s">
        <v>31</v>
      </c>
      <c r="C19" s="188"/>
      <c r="D19" s="168"/>
      <c r="E19" s="172"/>
      <c r="F19" s="170">
        <f>'2501_2'!F19+'2511_2'!F19+'2521_2'!F19+'2531'!F19+'2541_2'!F19+'2601_2701_4'!F19+'2708_9'!F19+'2710_1'!F19+'2717_21'!F19+'2602_2705'!F19+'2706_7'!F19+'2712_3'!F19+'2714_6'!F19+'2801_2806'!F19+'2811_5'!F19</f>
        <v>0</v>
      </c>
    </row>
    <row r="20" spans="1:6" ht="15" customHeight="1" x14ac:dyDescent="0.2">
      <c r="A20" s="164" t="s">
        <v>32</v>
      </c>
      <c r="B20" s="127" t="s">
        <v>22</v>
      </c>
      <c r="C20" s="188"/>
      <c r="D20" s="173" t="s">
        <v>11</v>
      </c>
      <c r="E20" s="174"/>
      <c r="F20" s="170">
        <f>'2501_2'!F20+'2511_2'!F20+'2521_2'!F20+'2531'!F20+'2541_2'!F20+'2601_2701_4'!F20+'2708_9'!F20+'2710_1'!F20+'2717_21'!F20+'2602_2705'!F20+'2706_7'!F20+'2712_3'!F20+'2714_6'!F20+'2801_2806'!F20+'2811_5'!F20</f>
        <v>316818</v>
      </c>
    </row>
    <row r="21" spans="1:6" ht="15" customHeight="1" x14ac:dyDescent="0.2">
      <c r="A21" s="164" t="s">
        <v>33</v>
      </c>
      <c r="B21" s="127" t="s">
        <v>34</v>
      </c>
      <c r="C21" s="188"/>
      <c r="D21" s="173" t="s">
        <v>11</v>
      </c>
      <c r="E21" s="174"/>
      <c r="F21" s="170">
        <f>'2501_2'!F21+'2511_2'!F21+'2521_2'!F21+'2531'!F21+'2541_2'!F21+'2601_2701_4'!F21+'2708_9'!F21+'2710_1'!F21+'2717_21'!F21+'2602_2705'!F21+'2706_7'!F21+'2712_3'!F21+'2714_6'!F21+'2801_2806'!F21+'2811_5'!F21</f>
        <v>750976</v>
      </c>
    </row>
    <row r="22" spans="1:6" ht="15" customHeight="1" x14ac:dyDescent="0.2">
      <c r="A22" s="164" t="s">
        <v>35</v>
      </c>
      <c r="B22" s="127" t="s">
        <v>36</v>
      </c>
      <c r="C22" s="188"/>
      <c r="D22" s="173" t="s">
        <v>11</v>
      </c>
      <c r="E22" s="174"/>
      <c r="F22" s="170">
        <f>'2501_2'!F22+'2511_2'!F22+'2521_2'!F22+'2531'!F22+'2541_2'!F22+'2601_2701_4'!F22+'2708_9'!F22+'2710_1'!F22+'2717_21'!F22+'2602_2705'!F22+'2706_7'!F22+'2712_3'!F22+'2714_6'!F22+'2801_2806'!F22+'2811_5'!F22</f>
        <v>691070</v>
      </c>
    </row>
    <row r="23" spans="1:6" ht="15" customHeight="1" x14ac:dyDescent="0.2">
      <c r="A23" s="164" t="s">
        <v>37</v>
      </c>
      <c r="B23" s="127" t="s">
        <v>28</v>
      </c>
      <c r="C23" s="188"/>
      <c r="D23" s="173" t="s">
        <v>11</v>
      </c>
      <c r="E23" s="174"/>
      <c r="F23" s="170">
        <f>'2501_2'!F23+'2511_2'!F23+'2521_2'!F23+'2531'!F23+'2541_2'!F23+'2601_2701_4'!F23+'2708_9'!F23+'2710_1'!F23+'2717_21'!F23+'2602_2705'!F23+'2706_7'!F23+'2712_3'!F23+'2714_6'!F23+'2801_2806'!F23+'2811_5'!F23</f>
        <v>66342.720000000001</v>
      </c>
    </row>
    <row r="24" spans="1:6" ht="15" customHeight="1" x14ac:dyDescent="0.2">
      <c r="A24" s="164" t="s">
        <v>38</v>
      </c>
      <c r="B24" s="127" t="s">
        <v>30</v>
      </c>
      <c r="C24" s="188"/>
      <c r="D24" s="173" t="s">
        <v>11</v>
      </c>
      <c r="E24" s="174"/>
      <c r="F24" s="170">
        <f>'2501_2'!F24+'2511_2'!F24+'2521_2'!F24+'2531'!F24+'2541_2'!F24+'2601_2701_4'!F24+'2708_9'!F24+'2710_1'!F24+'2717_21'!F24+'2602_2705'!F24+'2706_7'!F24+'2712_3'!F24+'2714_6'!F24+'2801_2806'!F24+'2811_5'!F24</f>
        <v>152035.40000000002</v>
      </c>
    </row>
    <row r="25" spans="1:6" ht="15" customHeight="1" x14ac:dyDescent="0.25">
      <c r="A25" s="163">
        <v>2.2999999999999998</v>
      </c>
      <c r="B25" s="62" t="s">
        <v>39</v>
      </c>
      <c r="C25" s="188"/>
      <c r="D25" s="179"/>
      <c r="E25" s="179"/>
      <c r="F25" s="170">
        <f>'2501_2'!F25+'2511_2'!F25+'2521_2'!F25+'2531'!F25+'2541_2'!F25+'2601_2701_4'!F25+'2708_9'!F25+'2710_1'!F25+'2717_21'!F25+'2602_2705'!F25+'2706_7'!F25+'2712_3'!F25+'2714_6'!F25+'2801_2806'!F25+'2811_5'!F25</f>
        <v>0</v>
      </c>
    </row>
    <row r="26" spans="1:6" ht="15" customHeight="1" x14ac:dyDescent="0.2">
      <c r="A26" s="164" t="s">
        <v>40</v>
      </c>
      <c r="B26" s="127" t="s">
        <v>41</v>
      </c>
      <c r="C26" s="188"/>
      <c r="D26" s="173" t="s">
        <v>11</v>
      </c>
      <c r="E26" s="174"/>
      <c r="F26" s="170">
        <f>'2501_2'!F26+'2511_2'!F26+'2521_2'!F26+'2531'!F26+'2541_2'!F26+'2601_2701_4'!F26+'2708_9'!F26+'2710_1'!F26+'2717_21'!F26+'2602_2705'!F26+'2706_7'!F26+'2712_3'!F26+'2714_6'!F26+'2801_2806'!F26+'2811_5'!F26</f>
        <v>31901</v>
      </c>
    </row>
    <row r="27" spans="1:6" ht="15" customHeight="1" x14ac:dyDescent="0.2">
      <c r="A27" s="164" t="s">
        <v>42</v>
      </c>
      <c r="B27" s="127" t="s">
        <v>24</v>
      </c>
      <c r="C27" s="188"/>
      <c r="D27" s="173" t="s">
        <v>11</v>
      </c>
      <c r="E27" s="174"/>
      <c r="F27" s="170">
        <f>'2501_2'!F27+'2511_2'!F27+'2521_2'!F27+'2531'!F27+'2541_2'!F27+'2601_2701_4'!F27+'2708_9'!F27+'2710_1'!F27+'2717_21'!F27+'2602_2705'!F27+'2706_7'!F27+'2712_3'!F27+'2714_6'!F27+'2801_2806'!F27+'2811_5'!F27</f>
        <v>59641</v>
      </c>
    </row>
    <row r="28" spans="1:6" ht="15" customHeight="1" x14ac:dyDescent="0.2">
      <c r="A28" s="164" t="s">
        <v>43</v>
      </c>
      <c r="B28" s="127" t="s">
        <v>44</v>
      </c>
      <c r="C28" s="188"/>
      <c r="D28" s="173" t="s">
        <v>11</v>
      </c>
      <c r="E28" s="174"/>
      <c r="F28" s="170">
        <f>'2501_2'!F28+'2511_2'!F28+'2521_2'!F28+'2531'!F28+'2541_2'!F28+'2601_2701_4'!F28+'2708_9'!F28+'2710_1'!F28+'2717_21'!F28+'2602_2705'!F28+'2706_7'!F28+'2712_3'!F28+'2714_6'!F28+'2801_2806'!F28+'2811_5'!F28</f>
        <v>70896.25</v>
      </c>
    </row>
    <row r="29" spans="1:6" ht="15" customHeight="1" x14ac:dyDescent="0.2">
      <c r="A29" s="164" t="s">
        <v>45</v>
      </c>
      <c r="B29" s="127" t="s">
        <v>28</v>
      </c>
      <c r="C29" s="188"/>
      <c r="D29" s="173" t="s">
        <v>11</v>
      </c>
      <c r="E29" s="174"/>
      <c r="F29" s="170">
        <f>'2501_2'!F29+'2511_2'!F29+'2521_2'!F29+'2531'!F29+'2541_2'!F29+'2601_2701_4'!F29+'2708_9'!F29+'2710_1'!F29+'2717_21'!F29+'2602_2705'!F29+'2706_7'!F29+'2712_3'!F29+'2714_6'!F29+'2801_2806'!F29+'2811_5'!F29</f>
        <v>7914</v>
      </c>
    </row>
    <row r="30" spans="1:6" ht="15" customHeight="1" x14ac:dyDescent="0.2">
      <c r="A30" s="164" t="s">
        <v>46</v>
      </c>
      <c r="B30" s="127" t="s">
        <v>30</v>
      </c>
      <c r="C30" s="188"/>
      <c r="D30" s="173" t="s">
        <v>11</v>
      </c>
      <c r="E30" s="174"/>
      <c r="F30" s="170">
        <f>'2501_2'!F30+'2511_2'!F30+'2521_2'!F30+'2531'!F30+'2541_2'!F30+'2601_2701_4'!F30+'2708_9'!F30+'2710_1'!F30+'2717_21'!F30+'2602_2705'!F30+'2706_7'!F30+'2712_3'!F30+'2714_6'!F30+'2801_2806'!F30+'2811_5'!F30</f>
        <v>18136.25</v>
      </c>
    </row>
    <row r="31" spans="1:6" ht="15" x14ac:dyDescent="0.25">
      <c r="A31" s="165">
        <v>3</v>
      </c>
      <c r="B31" s="70" t="s">
        <v>47</v>
      </c>
      <c r="C31" s="188"/>
      <c r="D31" s="72"/>
      <c r="E31" s="79"/>
      <c r="F31" s="74">
        <f>SUM(F33:F45)</f>
        <v>3364700</v>
      </c>
    </row>
    <row r="32" spans="1:6" ht="15" customHeight="1" x14ac:dyDescent="0.25">
      <c r="A32" s="177">
        <v>3.1</v>
      </c>
      <c r="B32" s="62" t="s">
        <v>48</v>
      </c>
      <c r="C32" s="188"/>
      <c r="D32" s="14"/>
      <c r="E32" s="53"/>
      <c r="F32" s="16"/>
    </row>
    <row r="33" spans="1:6" ht="15" customHeight="1" x14ac:dyDescent="0.2">
      <c r="A33" s="178" t="s">
        <v>49</v>
      </c>
      <c r="B33" s="61" t="s">
        <v>50</v>
      </c>
      <c r="C33" s="188"/>
      <c r="D33" s="168" t="s">
        <v>51</v>
      </c>
      <c r="E33" s="169"/>
      <c r="F33" s="170">
        <f>'2501_2'!F33+'2511_2'!F33+'2521_2'!F33+'2531'!F33+'2541_2'!F33+'2601_2701_4'!F33+'2708_9'!F33+'2710_1'!F33+'2717_21'!F33+'2602_2705'!F33+'2706_7'!F33+'2712_3'!F33+'2714_6'!F33+'2801_2806'!F33+'2811_5'!F33</f>
        <v>732480</v>
      </c>
    </row>
    <row r="34" spans="1:6" ht="15" customHeight="1" x14ac:dyDescent="0.2">
      <c r="A34" s="178" t="s">
        <v>52</v>
      </c>
      <c r="B34" s="61" t="s">
        <v>53</v>
      </c>
      <c r="C34" s="188"/>
      <c r="D34" s="168" t="s">
        <v>51</v>
      </c>
      <c r="E34" s="169"/>
      <c r="F34" s="170"/>
    </row>
    <row r="35" spans="1:6" ht="15" customHeight="1" x14ac:dyDescent="0.2">
      <c r="A35" s="178" t="s">
        <v>54</v>
      </c>
      <c r="B35" s="61" t="s">
        <v>55</v>
      </c>
      <c r="C35" s="188"/>
      <c r="D35" s="168" t="s">
        <v>51</v>
      </c>
      <c r="E35" s="169"/>
      <c r="F35" s="170">
        <f>'2501_2'!F35+'2511_2'!F35+'2521_2'!F35+'2531'!F35+'2541_2'!F35+'2601_2701_4'!F35+'2708_9'!F35+'2710_1'!F35+'2717_21'!F35+'2602_2705'!F35+'2706_7'!F35+'2712_3'!F35+'2714_6'!F35+'2801_2806'!F35+'2811_5'!F35</f>
        <v>218036</v>
      </c>
    </row>
    <row r="36" spans="1:6" ht="15" x14ac:dyDescent="0.25">
      <c r="A36" s="177">
        <v>3.2</v>
      </c>
      <c r="B36" s="62" t="s">
        <v>56</v>
      </c>
      <c r="C36" s="188"/>
      <c r="D36" s="171"/>
      <c r="E36" s="171"/>
      <c r="F36" s="170"/>
    </row>
    <row r="37" spans="1:6" ht="14.25" x14ac:dyDescent="0.2">
      <c r="A37" s="178" t="s">
        <v>57</v>
      </c>
      <c r="B37" s="61" t="s">
        <v>58</v>
      </c>
      <c r="C37" s="188"/>
      <c r="D37" s="168" t="s">
        <v>11</v>
      </c>
      <c r="E37" s="169"/>
      <c r="F37" s="170">
        <f>'2501_2'!F37+'2511_2'!F37+'2521_2'!F37+'2531'!F37+'2541_2'!F37+'2601_2701_4'!F37+'2708_9'!F37+'2710_1'!F37+'2717_21'!F37+'2602_2705'!F37+'2706_7'!F37+'2712_3'!F37+'2714_6'!F37+'2801_2806'!F37+'2811_5'!F37</f>
        <v>280525</v>
      </c>
    </row>
    <row r="38" spans="1:6" ht="15" customHeight="1" x14ac:dyDescent="0.2">
      <c r="A38" s="178" t="s">
        <v>59</v>
      </c>
      <c r="B38" s="61" t="s">
        <v>60</v>
      </c>
      <c r="C38" s="188"/>
      <c r="D38" s="168" t="s">
        <v>11</v>
      </c>
      <c r="E38" s="169"/>
      <c r="F38" s="170">
        <f>'2501_2'!F38+'2511_2'!F38+'2521_2'!F38+'2531'!F38+'2541_2'!F38+'2601_2701_4'!F38+'2708_9'!F38+'2710_1'!F38+'2717_21'!F38+'2602_2705'!F38+'2706_7'!F38+'2712_3'!F38+'2714_6'!F38+'2801_2806'!F38+'2811_5'!F38</f>
        <v>140262.5</v>
      </c>
    </row>
    <row r="39" spans="1:6" ht="15" customHeight="1" x14ac:dyDescent="0.25">
      <c r="A39" s="177">
        <v>3.3</v>
      </c>
      <c r="B39" s="62" t="s">
        <v>61</v>
      </c>
      <c r="C39" s="188"/>
      <c r="E39" s="169"/>
      <c r="F39" s="170"/>
    </row>
    <row r="40" spans="1:6" ht="15" customHeight="1" x14ac:dyDescent="0.2">
      <c r="A40" s="178" t="s">
        <v>62</v>
      </c>
      <c r="B40" s="61" t="s">
        <v>63</v>
      </c>
      <c r="C40" s="188"/>
      <c r="D40" s="168" t="s">
        <v>11</v>
      </c>
      <c r="E40" s="169"/>
      <c r="F40" s="170">
        <f>'2501_2'!F40+'2511_2'!F40+'2521_2'!F40+'2531'!F40+'2541_2'!F40+'2601_2701_4'!F40+'2708_9'!F40+'2710_1'!F40+'2717_21'!F40+'2602_2705'!F40+'2706_7'!F40+'2712_3'!F40+'2714_6'!F40+'2801_2806'!F40+'2811_5'!F40</f>
        <v>60888</v>
      </c>
    </row>
    <row r="41" spans="1:6" ht="15" customHeight="1" x14ac:dyDescent="0.2">
      <c r="A41" s="178" t="s">
        <v>64</v>
      </c>
      <c r="B41" s="61" t="s">
        <v>65</v>
      </c>
      <c r="C41" s="188"/>
      <c r="D41" s="168" t="s">
        <v>11</v>
      </c>
      <c r="E41" s="169"/>
      <c r="F41" s="170">
        <f>'2501_2'!F41+'2511_2'!F41+'2521_2'!F41+'2531'!F41+'2541_2'!F41+'2601_2701_4'!F41+'2708_9'!F41+'2710_1'!F41+'2717_21'!F41+'2602_2705'!F41+'2706_7'!F41+'2712_3'!F41+'2714_6'!F41+'2801_2806'!F41+'2811_5'!F41</f>
        <v>28896</v>
      </c>
    </row>
    <row r="42" spans="1:6" ht="15" customHeight="1" x14ac:dyDescent="0.25">
      <c r="A42" s="177">
        <v>3.4</v>
      </c>
      <c r="B42" s="62" t="s">
        <v>66</v>
      </c>
      <c r="C42" s="188"/>
      <c r="E42" s="169"/>
      <c r="F42" s="170"/>
    </row>
    <row r="43" spans="1:6" ht="15" customHeight="1" x14ac:dyDescent="0.2">
      <c r="A43" s="178" t="s">
        <v>67</v>
      </c>
      <c r="B43" s="61" t="s">
        <v>63</v>
      </c>
      <c r="C43" s="188"/>
      <c r="D43" s="168" t="s">
        <v>11</v>
      </c>
      <c r="E43" s="169"/>
      <c r="F43" s="170">
        <f>'2501_2'!F43+'2511_2'!F43+'2521_2'!F43+'2531'!F43+'2541_2'!F43+'2601_2701_4'!F43+'2708_9'!F43+'2710_1'!F43+'2717_21'!F43+'2602_2705'!F43+'2706_7'!F43+'2712_3'!F43+'2714_6'!F43+'2801_2806'!F43+'2811_5'!F43</f>
        <v>1261862.5</v>
      </c>
    </row>
    <row r="44" spans="1:6" ht="14.25" x14ac:dyDescent="0.2">
      <c r="A44" s="178" t="s">
        <v>68</v>
      </c>
      <c r="B44" s="61" t="s">
        <v>65</v>
      </c>
      <c r="C44" s="188"/>
      <c r="D44" s="168" t="s">
        <v>11</v>
      </c>
      <c r="E44" s="169"/>
      <c r="F44" s="170">
        <f>'2501_2'!F44+'2511_2'!F44+'2521_2'!F44+'2531'!F44+'2541_2'!F44+'2601_2701_4'!F44+'2708_9'!F44+'2710_1'!F44+'2717_21'!F44+'2602_2705'!F44+'2706_7'!F44+'2712_3'!F44+'2714_6'!F44+'2801_2806'!F44+'2811_5'!F44</f>
        <v>598850</v>
      </c>
    </row>
    <row r="45" spans="1:6" ht="15" customHeight="1" x14ac:dyDescent="0.2">
      <c r="A45" s="177">
        <v>3.5</v>
      </c>
      <c r="B45" s="61" t="s">
        <v>69</v>
      </c>
      <c r="C45" s="188"/>
      <c r="D45" s="168" t="s">
        <v>14</v>
      </c>
      <c r="E45" s="169"/>
      <c r="F45" s="170">
        <f>'2501_2'!F45+'2511_2'!F45+'2521_2'!F45+'2531'!F45+'2541_2'!F45+'2601_2701_4'!F45+'2708_9'!F45+'2710_1'!F45+'2717_21'!F45+'2602_2705'!F45+'2706_7'!F45+'2712_3'!F45+'2714_6'!F45+'2801_2806'!F45+'2811_5'!F45</f>
        <v>42900</v>
      </c>
    </row>
    <row r="46" spans="1:6" ht="15" customHeight="1" x14ac:dyDescent="0.25">
      <c r="A46" s="165">
        <v>4</v>
      </c>
      <c r="B46" s="70" t="s">
        <v>70</v>
      </c>
      <c r="C46" s="188"/>
      <c r="D46" s="72"/>
      <c r="E46" s="79"/>
      <c r="F46" s="74">
        <f>SUM(F47:F60)</f>
        <v>3595140</v>
      </c>
    </row>
    <row r="47" spans="1:6" ht="15" customHeight="1" x14ac:dyDescent="0.2">
      <c r="A47" s="177">
        <v>4.0999999999999996</v>
      </c>
      <c r="B47" s="61" t="s">
        <v>71</v>
      </c>
      <c r="C47" s="188"/>
      <c r="D47" s="14" t="s">
        <v>14</v>
      </c>
      <c r="E47" s="53"/>
      <c r="F47" s="170">
        <f>'2501_2'!F47+'2511_2'!F47+'2521_2'!F47+'2531'!F47+'2541_2'!F47+'2601_2701_4'!F47+'2708_9'!F47+'2710_1'!F47+'2717_21'!F47+'2602_2705'!F47+'2706_7'!F47+'2712_3'!F47+'2714_6'!F47+'2801_2806'!F47+'2811_5'!F47</f>
        <v>637000</v>
      </c>
    </row>
    <row r="48" spans="1:6" ht="15" customHeight="1" x14ac:dyDescent="0.2">
      <c r="A48" s="177">
        <v>4.2</v>
      </c>
      <c r="B48" s="61" t="s">
        <v>72</v>
      </c>
      <c r="C48" s="188"/>
      <c r="D48" s="14" t="s">
        <v>14</v>
      </c>
      <c r="E48" s="53"/>
      <c r="F48" s="170">
        <f>'2501_2'!F48+'2511_2'!F48+'2521_2'!F48+'2531'!F48+'2541_2'!F48+'2601_2701_4'!F48+'2708_9'!F48+'2710_1'!F48+'2717_21'!F48+'2602_2705'!F48+'2706_7'!F48+'2712_3'!F48+'2714_6'!F48+'2801_2806'!F48+'2811_5'!F48</f>
        <v>33000</v>
      </c>
    </row>
    <row r="49" spans="1:6" ht="15" customHeight="1" x14ac:dyDescent="0.25">
      <c r="A49" s="177">
        <v>4.3</v>
      </c>
      <c r="B49" s="62" t="s">
        <v>73</v>
      </c>
      <c r="C49" s="188"/>
      <c r="D49" s="14"/>
      <c r="E49" s="53"/>
      <c r="F49" s="170"/>
    </row>
    <row r="50" spans="1:6" ht="15" customHeight="1" x14ac:dyDescent="0.2">
      <c r="A50" s="178" t="s">
        <v>74</v>
      </c>
      <c r="B50" s="61" t="s">
        <v>75</v>
      </c>
      <c r="C50" s="188"/>
      <c r="D50" s="14" t="s">
        <v>14</v>
      </c>
      <c r="E50" s="53"/>
      <c r="F50" s="170">
        <f>'2501_2'!F50+'2511_2'!F50+'2521_2'!F50+'2531'!F50+'2541_2'!F50+'2601_2701_4'!F50+'2708_9'!F50+'2710_1'!F50+'2717_21'!F50+'2602_2705'!F50+'2706_7'!F50+'2712_3'!F50+'2714_6'!F50+'2801_2806'!F50+'2811_5'!F50</f>
        <v>21000</v>
      </c>
    </row>
    <row r="51" spans="1:6" ht="14.25" x14ac:dyDescent="0.2">
      <c r="A51" s="178" t="s">
        <v>76</v>
      </c>
      <c r="B51" s="61" t="s">
        <v>77</v>
      </c>
      <c r="C51" s="188"/>
      <c r="D51" s="14" t="s">
        <v>14</v>
      </c>
      <c r="E51" s="53"/>
      <c r="F51" s="170">
        <f>'2501_2'!F51+'2511_2'!F51+'2521_2'!F51+'2531'!F51+'2541_2'!F51+'2601_2701_4'!F51+'2708_9'!F51+'2710_1'!F51+'2717_21'!F51+'2602_2705'!F51+'2706_7'!F51+'2712_3'!F51+'2714_6'!F51+'2801_2806'!F51+'2811_5'!F51</f>
        <v>26500</v>
      </c>
    </row>
    <row r="52" spans="1:6" ht="15" customHeight="1" x14ac:dyDescent="0.25">
      <c r="A52" s="177">
        <v>4.4000000000000004</v>
      </c>
      <c r="B52" s="62" t="s">
        <v>78</v>
      </c>
      <c r="C52" s="188"/>
      <c r="D52" s="14"/>
      <c r="E52" s="53"/>
      <c r="F52" s="170"/>
    </row>
    <row r="53" spans="1:6" ht="15" customHeight="1" x14ac:dyDescent="0.2">
      <c r="A53" s="178" t="s">
        <v>79</v>
      </c>
      <c r="B53" s="61" t="s">
        <v>80</v>
      </c>
      <c r="C53" s="188"/>
      <c r="D53" s="14" t="s">
        <v>51</v>
      </c>
      <c r="E53" s="53"/>
      <c r="F53" s="170">
        <f>'2501_2'!F53+'2511_2'!F53+'2521_2'!F53+'2531'!F53+'2541_2'!F53+'2601_2701_4'!F53+'2708_9'!F53+'2710_1'!F53+'2717_21'!F53+'2602_2705'!F53+'2706_7'!F53+'2712_3'!F53+'2714_6'!F53+'2801_2806'!F53+'2811_5'!F53</f>
        <v>819000</v>
      </c>
    </row>
    <row r="54" spans="1:6" ht="15" customHeight="1" x14ac:dyDescent="0.2">
      <c r="A54" s="178" t="s">
        <v>81</v>
      </c>
      <c r="B54" s="61" t="s">
        <v>82</v>
      </c>
      <c r="C54" s="188"/>
      <c r="D54" s="14" t="s">
        <v>51</v>
      </c>
      <c r="E54" s="53"/>
      <c r="F54" s="170">
        <f>'2501_2'!F54+'2511_2'!F54+'2521_2'!F54+'2531'!F54+'2541_2'!F54+'2601_2701_4'!F54+'2708_9'!F54+'2710_1'!F54+'2717_21'!F54+'2602_2705'!F54+'2706_7'!F54+'2712_3'!F54+'2714_6'!F54+'2801_2806'!F54+'2811_5'!F54</f>
        <v>995040</v>
      </c>
    </row>
    <row r="55" spans="1:6" ht="15" customHeight="1" x14ac:dyDescent="0.2">
      <c r="A55" s="178" t="s">
        <v>83</v>
      </c>
      <c r="B55" s="61" t="s">
        <v>84</v>
      </c>
      <c r="C55" s="188"/>
      <c r="D55" s="14" t="s">
        <v>51</v>
      </c>
      <c r="E55" s="53"/>
      <c r="F55" s="170">
        <f>'2501_2'!F55+'2511_2'!F55+'2521_2'!F55+'2531'!F55+'2541_2'!F55+'2601_2701_4'!F55+'2708_9'!F55+'2710_1'!F55+'2717_21'!F55+'2602_2705'!F55+'2706_7'!F55+'2712_3'!F55+'2714_6'!F55+'2801_2806'!F55+'2811_5'!F55</f>
        <v>379200</v>
      </c>
    </row>
    <row r="56" spans="1:6" ht="15" customHeight="1" x14ac:dyDescent="0.2">
      <c r="A56" s="178" t="s">
        <v>85</v>
      </c>
      <c r="B56" s="61" t="s">
        <v>86</v>
      </c>
      <c r="C56" s="188"/>
      <c r="D56" s="14" t="s">
        <v>51</v>
      </c>
      <c r="E56" s="53"/>
      <c r="F56" s="170">
        <f>'2501_2'!F56+'2511_2'!F56+'2521_2'!F56+'2531'!F56+'2541_2'!F56+'2601_2701_4'!F56+'2708_9'!F56+'2710_1'!F56+'2717_21'!F56+'2602_2705'!F56+'2706_7'!F56+'2712_3'!F56+'2714_6'!F56+'2801_2806'!F56+'2811_5'!F56</f>
        <v>255450</v>
      </c>
    </row>
    <row r="57" spans="1:6" ht="15" customHeight="1" x14ac:dyDescent="0.25">
      <c r="A57" s="177">
        <v>4.5</v>
      </c>
      <c r="B57" s="62" t="s">
        <v>87</v>
      </c>
      <c r="C57" s="188"/>
      <c r="D57" s="14"/>
      <c r="E57" s="53"/>
      <c r="F57" s="170"/>
    </row>
    <row r="58" spans="1:6" ht="15" customHeight="1" x14ac:dyDescent="0.2">
      <c r="A58" s="178" t="s">
        <v>88</v>
      </c>
      <c r="B58" s="61" t="s">
        <v>89</v>
      </c>
      <c r="C58" s="188"/>
      <c r="D58" s="14" t="s">
        <v>14</v>
      </c>
      <c r="E58" s="53"/>
      <c r="F58" s="170">
        <f>'2501_2'!F58+'2511_2'!F58+'2521_2'!F58+'2531'!F58+'2541_2'!F58+'2601_2701_4'!F58+'2708_9'!F58+'2710_1'!F58+'2717_21'!F58+'2602_2705'!F58+'2706_7'!F58+'2712_3'!F58+'2714_6'!F58+'2801_2806'!F58+'2811_5'!F58</f>
        <v>7600</v>
      </c>
    </row>
    <row r="59" spans="1:6" ht="15" customHeight="1" x14ac:dyDescent="0.2">
      <c r="A59" s="177">
        <v>4.5999999999999996</v>
      </c>
      <c r="B59" s="127" t="s">
        <v>90</v>
      </c>
      <c r="C59" s="188"/>
      <c r="D59" s="128" t="s">
        <v>51</v>
      </c>
      <c r="E59" s="53"/>
      <c r="F59" s="170">
        <f>'2501_2'!F59+'2511_2'!F59+'2521_2'!F59+'2531'!F59+'2541_2'!F59+'2601_2701_4'!F59+'2708_9'!F59+'2710_1'!F59+'2717_21'!F59+'2602_2705'!F59+'2706_7'!F59+'2712_3'!F59+'2714_6'!F59+'2801_2806'!F59+'2811_5'!F59</f>
        <v>390950</v>
      </c>
    </row>
    <row r="60" spans="1:6" ht="15" customHeight="1" x14ac:dyDescent="0.2">
      <c r="A60" s="177">
        <v>4.7</v>
      </c>
      <c r="B60" s="127" t="s">
        <v>91</v>
      </c>
      <c r="C60" s="188"/>
      <c r="D60" s="128" t="s">
        <v>92</v>
      </c>
      <c r="E60" s="53"/>
      <c r="F60" s="170">
        <f>'2501_2'!F60+'2511_2'!F60+'2521_2'!F60+'2531'!F60+'2541_2'!F60+'2601_2701_4'!F60+'2708_9'!F60+'2710_1'!F60+'2717_21'!F60+'2602_2705'!F60+'2706_7'!F60+'2712_3'!F60+'2714_6'!F60+'2801_2806'!F60+'2811_5'!F60</f>
        <v>30400</v>
      </c>
    </row>
    <row r="61" spans="1:6" ht="15" customHeight="1" x14ac:dyDescent="0.25">
      <c r="A61" s="165">
        <v>5</v>
      </c>
      <c r="B61" s="70" t="s">
        <v>93</v>
      </c>
      <c r="C61" s="188"/>
      <c r="D61" s="72"/>
      <c r="E61" s="73"/>
      <c r="F61" s="74">
        <f>SUM(F62:F63)</f>
        <v>280000</v>
      </c>
    </row>
    <row r="62" spans="1:6" ht="15" customHeight="1" x14ac:dyDescent="0.2">
      <c r="A62" s="177">
        <v>5.0999999999999996</v>
      </c>
      <c r="B62" s="61" t="s">
        <v>94</v>
      </c>
      <c r="C62" s="188"/>
      <c r="D62" s="14" t="s">
        <v>14</v>
      </c>
      <c r="E62" s="53"/>
      <c r="F62" s="170">
        <f>'2501_2'!F62+'2511_2'!F62+'2521_2'!F62+'2531'!F62+'2541_2'!F62+'2601_2701_4'!F62+'2708_9'!F62+'2710_1'!F62+'2717_21'!F62+'2602_2705'!F62+'2706_7'!F62+'2712_3'!F62+'2714_6'!F62+'2801_2806'!F62+'2811_5'!F62</f>
        <v>280000</v>
      </c>
    </row>
    <row r="63" spans="1:6" ht="15" customHeight="1" x14ac:dyDescent="0.2">
      <c r="A63" s="177">
        <v>5.2</v>
      </c>
      <c r="B63" s="61" t="s">
        <v>95</v>
      </c>
      <c r="C63" s="188"/>
      <c r="D63" s="14" t="s">
        <v>14</v>
      </c>
      <c r="E63" s="53"/>
      <c r="F63" s="170">
        <f>'2501_2'!F63+'2511_2'!F63+'2521_2'!F63+'2531'!F63+'2541_2'!F63+'2601_2701_4'!F63+'2708_9'!F63+'2710_1'!F63+'2717_21'!F63+'2602_2705'!F63+'2706_7'!F63+'2712_3'!F63+'2714_6'!F63+'2801_2806'!F63+'2811_5'!F63</f>
        <v>0</v>
      </c>
    </row>
    <row r="64" spans="1:6" ht="15" customHeight="1" x14ac:dyDescent="0.25">
      <c r="A64" s="165">
        <v>6</v>
      </c>
      <c r="B64" s="70" t="s">
        <v>96</v>
      </c>
      <c r="C64" s="188"/>
      <c r="D64" s="72"/>
      <c r="E64" s="79"/>
      <c r="F64" s="74">
        <f>SUM(F65:F67)</f>
        <v>283331.75</v>
      </c>
    </row>
    <row r="65" spans="1:6" ht="15" customHeight="1" x14ac:dyDescent="0.2">
      <c r="A65" s="177">
        <v>6.1</v>
      </c>
      <c r="B65" s="61" t="s">
        <v>97</v>
      </c>
      <c r="C65" s="188"/>
      <c r="D65" s="14" t="s">
        <v>14</v>
      </c>
      <c r="E65" s="53"/>
      <c r="F65" s="170">
        <f>'2501_2'!F65+'2511_2'!F65+'2521_2'!F65+'2531'!F65+'2541_2'!F65+'2601_2701_4'!F65+'2708_9'!F65+'2710_1'!F65+'2717_21'!F65+'2602_2705'!F65+'2706_7'!F65+'2712_3'!F65+'2714_6'!F65+'2801_2806'!F65+'2811_5'!F65</f>
        <v>22150</v>
      </c>
    </row>
    <row r="66" spans="1:6" ht="15" customHeight="1" x14ac:dyDescent="0.2">
      <c r="A66" s="177">
        <v>6.2</v>
      </c>
      <c r="B66" s="61" t="s">
        <v>98</v>
      </c>
      <c r="C66" s="188"/>
      <c r="D66" s="14" t="s">
        <v>11</v>
      </c>
      <c r="E66" s="53"/>
      <c r="F66" s="170">
        <f>'2501_2'!F66+'2511_2'!F66+'2521_2'!F66+'2531'!F66+'2541_2'!F66+'2601_2701_4'!F66+'2708_9'!F66+'2710_1'!F66+'2717_21'!F66+'2602_2705'!F66+'2706_7'!F66+'2712_3'!F66+'2714_6'!F66+'2801_2806'!F66+'2811_5'!F66</f>
        <v>18000</v>
      </c>
    </row>
    <row r="67" spans="1:6" ht="15" customHeight="1" x14ac:dyDescent="0.2">
      <c r="A67" s="177">
        <v>6.3</v>
      </c>
      <c r="B67" s="61" t="s">
        <v>99</v>
      </c>
      <c r="C67" s="188"/>
      <c r="D67" s="14" t="s">
        <v>11</v>
      </c>
      <c r="E67" s="53"/>
      <c r="F67" s="170">
        <f>'2501_2'!F67+'2511_2'!F67+'2521_2'!F67+'2531'!F67+'2541_2'!F67+'2601_2701_4'!F67+'2708_9'!F67+'2710_1'!F67+'2717_21'!F67+'2602_2705'!F67+'2706_7'!F67+'2712_3'!F67+'2714_6'!F67+'2801_2806'!F67+'2811_5'!F67</f>
        <v>243181.75</v>
      </c>
    </row>
    <row r="68" spans="1:6" ht="15" customHeight="1" x14ac:dyDescent="0.25">
      <c r="A68" s="165">
        <v>7</v>
      </c>
      <c r="B68" s="70" t="s">
        <v>100</v>
      </c>
      <c r="C68" s="188"/>
      <c r="D68" s="72"/>
      <c r="E68" s="73"/>
      <c r="F68" s="74">
        <f>SUM(F69:F72)</f>
        <v>1812032</v>
      </c>
    </row>
    <row r="69" spans="1:6" ht="15" customHeight="1" x14ac:dyDescent="0.2">
      <c r="A69" s="177">
        <v>7.1</v>
      </c>
      <c r="B69" s="61" t="s">
        <v>101</v>
      </c>
      <c r="C69" s="188"/>
      <c r="D69" s="14" t="s">
        <v>14</v>
      </c>
      <c r="E69" s="53"/>
      <c r="F69" s="170">
        <f>'2501_2'!F69+'2511_2'!F69+'2521_2'!F69+'2531'!F69+'2541_2'!F69+'2601_2701_4'!F69+'2708_9'!F69+'2710_1'!F69+'2717_21'!F69+'2602_2705'!F69+'2706_7'!F69+'2712_3'!F69+'2714_6'!F69+'2801_2806'!F69+'2811_5'!F69</f>
        <v>100000</v>
      </c>
    </row>
    <row r="70" spans="1:6" ht="15" customHeight="1" x14ac:dyDescent="0.2">
      <c r="A70" s="177">
        <v>7.2</v>
      </c>
      <c r="B70" s="61" t="s">
        <v>102</v>
      </c>
      <c r="C70" s="188"/>
      <c r="D70" s="14" t="s">
        <v>14</v>
      </c>
      <c r="E70" s="53"/>
      <c r="F70" s="170">
        <f>'2501_2'!F70+'2511_2'!F70+'2521_2'!F70+'2531'!F70+'2541_2'!F70+'2601_2701_4'!F70+'2708_9'!F70+'2710_1'!F70+'2717_21'!F70+'2602_2705'!F70+'2706_7'!F70+'2712_3'!F70+'2714_6'!F70+'2801_2806'!F70+'2811_5'!F70</f>
        <v>640000</v>
      </c>
    </row>
    <row r="71" spans="1:6" ht="15" customHeight="1" x14ac:dyDescent="0.2">
      <c r="A71" s="177">
        <v>7.3</v>
      </c>
      <c r="B71" s="61" t="s">
        <v>103</v>
      </c>
      <c r="C71" s="188"/>
      <c r="D71" s="14" t="s">
        <v>51</v>
      </c>
      <c r="E71" s="53"/>
      <c r="F71" s="170">
        <f>'2501_2'!F71+'2511_2'!F71+'2521_2'!F71+'2531'!F71+'2541_2'!F71+'2601_2701_4'!F71+'2708_9'!F71+'2710_1'!F71+'2717_21'!F71+'2602_2705'!F71+'2706_7'!F71+'2712_3'!F71+'2714_6'!F71+'2801_2806'!F71+'2811_5'!F71</f>
        <v>835680</v>
      </c>
    </row>
    <row r="72" spans="1:6" ht="15" customHeight="1" x14ac:dyDescent="0.2">
      <c r="A72" s="177">
        <v>7.4</v>
      </c>
      <c r="B72" s="61" t="s">
        <v>104</v>
      </c>
      <c r="C72" s="188"/>
      <c r="D72" s="14" t="s">
        <v>105</v>
      </c>
      <c r="E72" s="53"/>
      <c r="F72" s="170">
        <f>'2501_2'!F72+'2511_2'!F72+'2521_2'!F72+'2531'!F72+'2541_2'!F72+'2601_2701_4'!F72+'2708_9'!F72+'2710_1'!F72+'2717_21'!F72+'2602_2705'!F72+'2706_7'!F72+'2712_3'!F72+'2714_6'!F72+'2801_2806'!F72+'2811_5'!F72</f>
        <v>236352</v>
      </c>
    </row>
    <row r="73" spans="1:6" ht="15" customHeight="1" x14ac:dyDescent="0.25">
      <c r="A73" s="165">
        <v>8</v>
      </c>
      <c r="B73" s="70" t="s">
        <v>106</v>
      </c>
      <c r="C73" s="188"/>
      <c r="D73" s="72"/>
      <c r="E73" s="73"/>
      <c r="F73" s="74">
        <f>SUM(F74:F79)</f>
        <v>746296.73809999996</v>
      </c>
    </row>
    <row r="74" spans="1:6" ht="15" customHeight="1" x14ac:dyDescent="0.2">
      <c r="A74" s="177">
        <v>8.1</v>
      </c>
      <c r="B74" s="61" t="s">
        <v>107</v>
      </c>
      <c r="C74" s="188"/>
      <c r="D74" s="14" t="s">
        <v>14</v>
      </c>
      <c r="E74" s="53"/>
      <c r="F74" s="170">
        <f>'2501_2'!F74+'2511_2'!F74+'2521_2'!F74+'2531'!F74+'2541_2'!F74+'2601_2701_4'!F74+'2708_9'!F74+'2710_1'!F74+'2717_21'!F74+'2602_2705'!F74+'2706_7'!F74+'2712_3'!F74+'2714_6'!F74+'2801_2806'!F74+'2811_5'!F74</f>
        <v>144000</v>
      </c>
    </row>
    <row r="75" spans="1:6" ht="15" customHeight="1" x14ac:dyDescent="0.2">
      <c r="A75" s="177">
        <v>8.1999999999999993</v>
      </c>
      <c r="B75" s="61" t="s">
        <v>108</v>
      </c>
      <c r="C75" s="188"/>
      <c r="D75" s="14" t="s">
        <v>14</v>
      </c>
      <c r="E75" s="53"/>
      <c r="F75" s="170">
        <f>'2501_2'!F75+'2511_2'!F75+'2521_2'!F75+'2531'!F75+'2541_2'!F75+'2601_2701_4'!F75+'2708_9'!F75+'2710_1'!F75+'2717_21'!F75+'2602_2705'!F75+'2706_7'!F75+'2712_3'!F75+'2714_6'!F75+'2801_2806'!F75+'2811_5'!F75</f>
        <v>83160</v>
      </c>
    </row>
    <row r="76" spans="1:6" ht="15" customHeight="1" x14ac:dyDescent="0.2">
      <c r="A76" s="177">
        <v>8.3000000000000007</v>
      </c>
      <c r="B76" s="61" t="s">
        <v>109</v>
      </c>
      <c r="C76" s="188"/>
      <c r="D76" s="14" t="s">
        <v>14</v>
      </c>
      <c r="E76" s="53"/>
      <c r="F76" s="170">
        <f>'2501_2'!F76+'2511_2'!F76+'2521_2'!F76+'2531'!F76+'2541_2'!F76+'2601_2701_4'!F76+'2708_9'!F76+'2710_1'!F76+'2717_21'!F76+'2602_2705'!F76+'2706_7'!F76+'2712_3'!F76+'2714_6'!F76+'2801_2806'!F76+'2811_5'!F76</f>
        <v>253433.77560000002</v>
      </c>
    </row>
    <row r="77" spans="1:6" ht="15" customHeight="1" x14ac:dyDescent="0.2">
      <c r="A77" s="177">
        <v>8.4</v>
      </c>
      <c r="B77" s="61" t="s">
        <v>110</v>
      </c>
      <c r="C77" s="188"/>
      <c r="D77" s="14" t="s">
        <v>14</v>
      </c>
      <c r="E77" s="53"/>
      <c r="F77" s="170">
        <f>'2501_2'!F77+'2511_2'!F77+'2521_2'!F77+'2531'!F77+'2541_2'!F77+'2601_2701_4'!F77+'2708_9'!F77+'2710_1'!F77+'2717_21'!F77+'2602_2705'!F77+'2706_7'!F77+'2712_3'!F77+'2714_6'!F77+'2801_2806'!F77+'2811_5'!F77</f>
        <v>42499.762499999997</v>
      </c>
    </row>
    <row r="78" spans="1:6" ht="15" customHeight="1" x14ac:dyDescent="0.2">
      <c r="A78" s="177">
        <v>8.5</v>
      </c>
      <c r="B78" s="61" t="s">
        <v>111</v>
      </c>
      <c r="C78" s="188"/>
      <c r="D78" s="14" t="s">
        <v>112</v>
      </c>
      <c r="E78" s="53"/>
      <c r="F78" s="170">
        <f>'2501_2'!F78+'2511_2'!F78+'2521_2'!F78+'2531'!F78+'2541_2'!F78+'2601_2701_4'!F78+'2708_9'!F78+'2710_1'!F78+'2717_21'!F78+'2602_2705'!F78+'2706_7'!F78+'2712_3'!F78+'2714_6'!F78+'2801_2806'!F78+'2811_5'!F78</f>
        <v>42000</v>
      </c>
    </row>
    <row r="79" spans="1:6" ht="15" customHeight="1" x14ac:dyDescent="0.2">
      <c r="A79" s="177">
        <v>8.6</v>
      </c>
      <c r="B79" s="61" t="s">
        <v>113</v>
      </c>
      <c r="C79" s="188"/>
      <c r="D79" s="14" t="s">
        <v>14</v>
      </c>
      <c r="E79" s="53"/>
      <c r="F79" s="170">
        <f>'2501_2'!F79+'2511_2'!F79+'2521_2'!F79+'2531'!F79+'2541_2'!F79+'2601_2701_4'!F79+'2708_9'!F79+'2710_1'!F79+'2717_21'!F79+'2602_2705'!F79+'2706_7'!F79+'2712_3'!F79+'2714_6'!F79+'2801_2806'!F79+'2811_5'!F79</f>
        <v>181203.20000000001</v>
      </c>
    </row>
    <row r="80" spans="1:6" ht="15" customHeight="1" x14ac:dyDescent="0.25">
      <c r="A80" s="165">
        <v>9</v>
      </c>
      <c r="B80" s="70" t="s">
        <v>114</v>
      </c>
      <c r="C80" s="188"/>
      <c r="D80" s="72"/>
      <c r="E80" s="73"/>
      <c r="F80" s="74">
        <f>SUM(F81:F83)</f>
        <v>90000</v>
      </c>
    </row>
    <row r="81" spans="1:6" ht="15" customHeight="1" x14ac:dyDescent="0.2">
      <c r="A81" s="177"/>
      <c r="B81" s="61"/>
      <c r="C81" s="188"/>
      <c r="D81" s="14" t="s">
        <v>14</v>
      </c>
      <c r="E81" s="53"/>
      <c r="F81" s="170">
        <f>'2501_2'!F81+'2511_2'!F81+'2521_2'!F81+'2531'!F81+'2541_2'!F81+'2601_2701_4'!F81+'2708_9'!F81+'2710_1'!F81+'2717_21'!F81+'2602_2705'!F81+'2706_7'!F81+'2712_3'!F81+'2714_6'!F81+'2801_2806'!F81+'2811_5'!F81</f>
        <v>90000</v>
      </c>
    </row>
    <row r="82" spans="1:6" ht="15" customHeight="1" x14ac:dyDescent="0.2">
      <c r="A82" s="177"/>
      <c r="B82" s="61"/>
      <c r="C82" s="188"/>
      <c r="D82" s="14"/>
      <c r="E82" s="53"/>
      <c r="F82" s="170">
        <f>'2501_2'!F82+'2511_2'!F82+'2521_2'!F82+'2531'!F82+'2541_2'!F82+'2601_2701_4'!F82+'2708_9'!F82+'2710_1'!F82+'2717_21'!F82+'2602_2705'!F82+'2706_7'!F82+'2712_3'!F82+'2714_6'!F82+'2801_2806'!F82+'2811_5'!F82</f>
        <v>0</v>
      </c>
    </row>
    <row r="83" spans="1:6" ht="15" customHeight="1" x14ac:dyDescent="0.2">
      <c r="A83" s="177"/>
      <c r="B83" s="61"/>
      <c r="C83" s="189"/>
      <c r="D83" s="14"/>
      <c r="E83" s="53"/>
      <c r="F83" s="170">
        <f>'2501_2'!F83+'2511_2'!F83+'2521_2'!F83+'2531'!F83+'2541_2'!F83+'2601_2701_4'!F83+'2708_9'!F83+'2710_1'!F83+'2717_21'!F83+'2602_2705'!F83+'2706_7'!F83+'2712_3'!F83+'2714_6'!F83+'2801_2806'!F83+'2811_5'!F83</f>
        <v>0</v>
      </c>
    </row>
    <row r="84" spans="1:6" ht="15" x14ac:dyDescent="0.25">
      <c r="A84" s="92"/>
      <c r="B84" s="160" t="s">
        <v>115</v>
      </c>
      <c r="C84" s="75"/>
      <c r="D84" s="76"/>
      <c r="E84" s="83"/>
      <c r="F84" s="181">
        <f>SUM(F5,F12,F31,F46,F61,F64,F68,F73,F80)</f>
        <v>22631544.735300001</v>
      </c>
    </row>
    <row r="85" spans="1:6" ht="15" x14ac:dyDescent="0.25">
      <c r="A85" s="165">
        <v>10</v>
      </c>
      <c r="B85" s="70" t="s">
        <v>116</v>
      </c>
      <c r="C85" s="71"/>
      <c r="D85" s="72"/>
      <c r="E85" s="73"/>
      <c r="F85" s="74"/>
    </row>
    <row r="86" spans="1:6" ht="14.25" x14ac:dyDescent="0.2">
      <c r="A86" s="177">
        <v>10.1</v>
      </c>
      <c r="B86" s="61" t="s">
        <v>117</v>
      </c>
      <c r="C86" s="166">
        <v>3.25</v>
      </c>
      <c r="D86" s="14" t="s">
        <v>105</v>
      </c>
      <c r="E86" s="175"/>
      <c r="F86" s="176">
        <f>C86%*F$84</f>
        <v>735525.20389725</v>
      </c>
    </row>
    <row r="87" spans="1:6" ht="14.25" x14ac:dyDescent="0.2">
      <c r="A87" s="177">
        <v>10.199999999999999</v>
      </c>
      <c r="B87" s="61" t="s">
        <v>118</v>
      </c>
      <c r="C87" s="166">
        <v>1</v>
      </c>
      <c r="D87" s="14" t="s">
        <v>105</v>
      </c>
      <c r="E87" s="175"/>
      <c r="F87" s="176">
        <f t="shared" ref="F87:F93" si="0">C87%*F$84</f>
        <v>226315.44735300003</v>
      </c>
    </row>
    <row r="88" spans="1:6" ht="14.25" x14ac:dyDescent="0.2">
      <c r="A88" s="177">
        <v>10.3</v>
      </c>
      <c r="B88" s="61" t="s">
        <v>119</v>
      </c>
      <c r="C88" s="166">
        <v>5</v>
      </c>
      <c r="D88" s="14" t="s">
        <v>105</v>
      </c>
      <c r="E88" s="175"/>
      <c r="F88" s="176">
        <f t="shared" si="0"/>
        <v>1131577.236765</v>
      </c>
    </row>
    <row r="89" spans="1:6" ht="14.25" x14ac:dyDescent="0.2">
      <c r="A89" s="177">
        <v>10.4</v>
      </c>
      <c r="B89" s="61" t="s">
        <v>120</v>
      </c>
      <c r="C89" s="166">
        <v>0.5</v>
      </c>
      <c r="D89" s="14" t="s">
        <v>105</v>
      </c>
      <c r="E89" s="175"/>
      <c r="F89" s="176">
        <f t="shared" si="0"/>
        <v>113157.72367650001</v>
      </c>
    </row>
    <row r="90" spans="1:6" ht="14.25" x14ac:dyDescent="0.2">
      <c r="A90" s="177">
        <v>10.5</v>
      </c>
      <c r="B90" s="61" t="s">
        <v>121</v>
      </c>
      <c r="C90" s="166">
        <v>5</v>
      </c>
      <c r="D90" s="14" t="s">
        <v>105</v>
      </c>
      <c r="E90" s="175"/>
      <c r="F90" s="176">
        <f t="shared" si="0"/>
        <v>1131577.236765</v>
      </c>
    </row>
    <row r="91" spans="1:6" ht="14.25" x14ac:dyDescent="0.2">
      <c r="A91" s="177">
        <v>10.6</v>
      </c>
      <c r="B91" s="61" t="s">
        <v>122</v>
      </c>
      <c r="C91" s="166">
        <v>9</v>
      </c>
      <c r="D91" s="14" t="s">
        <v>105</v>
      </c>
      <c r="E91" s="175"/>
      <c r="F91" s="176">
        <f t="shared" si="0"/>
        <v>2036839.026177</v>
      </c>
    </row>
    <row r="92" spans="1:6" ht="14.25" x14ac:dyDescent="0.2">
      <c r="A92" s="177">
        <v>10.7</v>
      </c>
      <c r="B92" s="61" t="s">
        <v>123</v>
      </c>
      <c r="C92" s="166">
        <v>2.5</v>
      </c>
      <c r="D92" s="14" t="s">
        <v>105</v>
      </c>
      <c r="E92" s="175"/>
      <c r="F92" s="176">
        <f t="shared" si="0"/>
        <v>565788.61838250002</v>
      </c>
    </row>
    <row r="93" spans="1:6" ht="14.25" x14ac:dyDescent="0.2">
      <c r="A93" s="177">
        <v>10.8</v>
      </c>
      <c r="B93" s="61" t="s">
        <v>124</v>
      </c>
      <c r="C93" s="166">
        <v>15</v>
      </c>
      <c r="D93" s="14" t="s">
        <v>105</v>
      </c>
      <c r="E93" s="175"/>
      <c r="F93" s="176">
        <f t="shared" si="0"/>
        <v>3394731.7102950001</v>
      </c>
    </row>
    <row r="94" spans="1:6" ht="15" x14ac:dyDescent="0.25">
      <c r="A94" s="92"/>
      <c r="B94" s="160" t="s">
        <v>125</v>
      </c>
      <c r="C94" s="75"/>
      <c r="D94" s="76"/>
      <c r="E94" s="83"/>
      <c r="F94" s="181">
        <f>SUM(F84:F93)</f>
        <v>31967056.93861125</v>
      </c>
    </row>
    <row r="95" spans="1:6" ht="87.75" customHeight="1" x14ac:dyDescent="0.2">
      <c r="A95" s="190" t="s">
        <v>126</v>
      </c>
      <c r="B95" s="190"/>
      <c r="C95" s="190"/>
      <c r="D95" s="190"/>
      <c r="E95" s="190"/>
      <c r="F95" s="190"/>
    </row>
  </sheetData>
  <mergeCells count="2">
    <mergeCell ref="C6:C83"/>
    <mergeCell ref="A95:F95"/>
  </mergeCells>
  <phoneticPr fontId="0" type="noConversion"/>
  <pageMargins left="0.59055118110236227" right="0.59055118110236227" top="0.9055118110236221" bottom="0.74803149606299213" header="0.31496062992125984" footer="0.31496062992125984"/>
  <pageSetup paperSize="9" fitToHeight="0" orientation="landscape" r:id="rId1"/>
  <headerFooter scaleWithDoc="0">
    <oddHeader>&amp;L&amp;A&amp;R&amp;G</oddHeader>
    <oddFooter>&amp;L&amp;"Arial,Regular"&amp;9&amp;Z&amp;F
&amp;D&amp;R&amp;"Arial,Regular"&amp;9Page &amp;P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F94"/>
  <sheetViews>
    <sheetView workbookViewId="0">
      <selection activeCell="G3" sqref="G3"/>
    </sheetView>
  </sheetViews>
  <sheetFormatPr defaultColWidth="9.140625" defaultRowHeight="15" customHeight="1" x14ac:dyDescent="0.2"/>
  <cols>
    <col min="1" max="1" width="12.7109375" style="162" customWidth="1"/>
    <col min="2" max="2" width="50.7109375" style="162" customWidth="1"/>
    <col min="3" max="4" width="12.7109375" style="162" customWidth="1"/>
    <col min="5" max="6" width="15.7109375" style="162" customWidth="1"/>
    <col min="7" max="16384" width="9.140625" style="162"/>
  </cols>
  <sheetData>
    <row r="1" spans="1:6" ht="15" customHeight="1" x14ac:dyDescent="0.25">
      <c r="A1" s="1" t="s">
        <v>0</v>
      </c>
      <c r="F1" s="161">
        <v>43544</v>
      </c>
    </row>
    <row r="2" spans="1:6" ht="15" customHeight="1" x14ac:dyDescent="0.25">
      <c r="A2" s="1" t="s">
        <v>137</v>
      </c>
    </row>
    <row r="4" spans="1:6" ht="30" x14ac:dyDescent="0.2">
      <c r="A4" s="182" t="s">
        <v>2</v>
      </c>
      <c r="B4" s="182" t="s">
        <v>3</v>
      </c>
      <c r="C4" s="182" t="s">
        <v>4</v>
      </c>
      <c r="D4" s="182" t="s">
        <v>5</v>
      </c>
      <c r="E4" s="183" t="s">
        <v>6</v>
      </c>
      <c r="F4" s="183" t="s">
        <v>7</v>
      </c>
    </row>
    <row r="5" spans="1:6" ht="15" customHeight="1" x14ac:dyDescent="0.25">
      <c r="A5" s="165">
        <v>1</v>
      </c>
      <c r="B5" s="70" t="s">
        <v>8</v>
      </c>
      <c r="C5" s="71"/>
      <c r="D5" s="72"/>
      <c r="E5" s="79"/>
      <c r="F5" s="74">
        <f>SUM(F6:F11)</f>
        <v>392845.51420000003</v>
      </c>
    </row>
    <row r="6" spans="1:6" ht="15" customHeight="1" x14ac:dyDescent="0.2">
      <c r="A6" s="177">
        <v>1.1000000000000001</v>
      </c>
      <c r="B6" s="127" t="s">
        <v>9</v>
      </c>
      <c r="C6" s="167">
        <f>C7</f>
        <v>11109.58</v>
      </c>
      <c r="D6" s="173" t="s">
        <v>11</v>
      </c>
      <c r="E6" s="174">
        <v>5</v>
      </c>
      <c r="F6" s="170">
        <f t="shared" ref="F6:F11" si="0">C6*E6</f>
        <v>55547.9</v>
      </c>
    </row>
    <row r="7" spans="1:6" ht="15" customHeight="1" x14ac:dyDescent="0.2">
      <c r="A7" s="177">
        <v>1.2</v>
      </c>
      <c r="B7" s="127" t="s">
        <v>12</v>
      </c>
      <c r="C7" s="167">
        <f>ROUNDUP(C33/2*5,0)+C43+C40+(C14+C20+C26)*0.2</f>
        <v>11109.58</v>
      </c>
      <c r="D7" s="173" t="s">
        <v>11</v>
      </c>
      <c r="E7" s="174">
        <v>7</v>
      </c>
      <c r="F7" s="170">
        <f t="shared" si="0"/>
        <v>77767.06</v>
      </c>
    </row>
    <row r="8" spans="1:6" ht="15" customHeight="1" x14ac:dyDescent="0.2">
      <c r="A8" s="177">
        <v>1.3</v>
      </c>
      <c r="B8" s="127" t="s">
        <v>13</v>
      </c>
      <c r="C8" s="167">
        <v>1</v>
      </c>
      <c r="D8" s="173" t="s">
        <v>14</v>
      </c>
      <c r="E8" s="174">
        <v>4000</v>
      </c>
      <c r="F8" s="170">
        <f t="shared" si="0"/>
        <v>4000</v>
      </c>
    </row>
    <row r="9" spans="1:6" ht="15" customHeight="1" x14ac:dyDescent="0.2">
      <c r="A9" s="177">
        <v>1.4</v>
      </c>
      <c r="B9" s="127" t="s">
        <v>15</v>
      </c>
      <c r="C9" s="167">
        <v>1</v>
      </c>
      <c r="D9" s="173" t="s">
        <v>14</v>
      </c>
      <c r="E9" s="174">
        <v>2500</v>
      </c>
      <c r="F9" s="170">
        <f t="shared" si="0"/>
        <v>2500</v>
      </c>
    </row>
    <row r="10" spans="1:6" ht="15" customHeight="1" x14ac:dyDescent="0.2">
      <c r="A10" s="177">
        <v>1.5</v>
      </c>
      <c r="B10" s="127" t="s">
        <v>16</v>
      </c>
      <c r="C10" s="167">
        <f>(C16*0.4+C37*0.25+C43*0.175+C17*0.3)*0.6+800</f>
        <v>4071.8174000000004</v>
      </c>
      <c r="D10" s="173" t="s">
        <v>17</v>
      </c>
      <c r="E10" s="174">
        <v>45</v>
      </c>
      <c r="F10" s="170">
        <f t="shared" si="0"/>
        <v>183231.78300000002</v>
      </c>
    </row>
    <row r="11" spans="1:6" ht="15" customHeight="1" x14ac:dyDescent="0.2">
      <c r="A11" s="177">
        <v>1.6</v>
      </c>
      <c r="B11" s="127" t="s">
        <v>18</v>
      </c>
      <c r="C11" s="167">
        <f>(C16*0.4+C37*0.25+C43*0.175+C17*0.3)*0.4</f>
        <v>2181.2116000000001</v>
      </c>
      <c r="D11" s="173" t="s">
        <v>17</v>
      </c>
      <c r="E11" s="174">
        <v>32</v>
      </c>
      <c r="F11" s="170">
        <f t="shared" si="0"/>
        <v>69798.771200000003</v>
      </c>
    </row>
    <row r="12" spans="1:6" ht="15" customHeight="1" x14ac:dyDescent="0.25">
      <c r="A12" s="165">
        <v>2</v>
      </c>
      <c r="B12" s="70" t="s">
        <v>19</v>
      </c>
      <c r="C12" s="71"/>
      <c r="D12" s="72"/>
      <c r="E12" s="79"/>
      <c r="F12" s="74">
        <f>SUM(F14:F30)</f>
        <v>1413689.1199999999</v>
      </c>
    </row>
    <row r="13" spans="1:6" ht="15" customHeight="1" x14ac:dyDescent="0.25">
      <c r="A13" s="163">
        <v>2.1</v>
      </c>
      <c r="B13" s="62" t="s">
        <v>20</v>
      </c>
      <c r="C13" s="167"/>
      <c r="D13" s="168"/>
      <c r="E13" s="172"/>
      <c r="F13" s="170"/>
    </row>
    <row r="14" spans="1:6" ht="15" customHeight="1" x14ac:dyDescent="0.2">
      <c r="A14" s="164" t="s">
        <v>21</v>
      </c>
      <c r="B14" s="127" t="s">
        <v>22</v>
      </c>
      <c r="C14" s="167">
        <f>(118+174+190+190+56)*11.6+36*7+20+10+17*2.3</f>
        <v>8765.9</v>
      </c>
      <c r="D14" s="173" t="s">
        <v>11</v>
      </c>
      <c r="E14" s="174">
        <v>27</v>
      </c>
      <c r="F14" s="170">
        <f t="shared" ref="F14:F18" si="1">C14*E14</f>
        <v>236679.3</v>
      </c>
    </row>
    <row r="15" spans="1:6" ht="15" customHeight="1" x14ac:dyDescent="0.2">
      <c r="A15" s="164" t="s">
        <v>23</v>
      </c>
      <c r="B15" s="127" t="s">
        <v>24</v>
      </c>
      <c r="C15" s="167">
        <f>C14</f>
        <v>8765.9</v>
      </c>
      <c r="D15" s="173" t="s">
        <v>11</v>
      </c>
      <c r="E15" s="174">
        <f>ROUNDUP(32*100/75,0)</f>
        <v>43</v>
      </c>
      <c r="F15" s="170">
        <f t="shared" si="1"/>
        <v>376933.7</v>
      </c>
    </row>
    <row r="16" spans="1:6" ht="15" customHeight="1" x14ac:dyDescent="0.2">
      <c r="A16" s="164" t="s">
        <v>25</v>
      </c>
      <c r="B16" s="127" t="s">
        <v>26</v>
      </c>
      <c r="C16" s="167">
        <f>C15+(C35*0.45)+((C33-(206+87+56)*0.75))</f>
        <v>10401.15</v>
      </c>
      <c r="D16" s="173" t="s">
        <v>11</v>
      </c>
      <c r="E16" s="174">
        <f>ROUNDUP(18*260/110,0)</f>
        <v>43</v>
      </c>
      <c r="F16" s="170">
        <f t="shared" si="1"/>
        <v>447249.45</v>
      </c>
    </row>
    <row r="17" spans="1:6" ht="15" customHeight="1" x14ac:dyDescent="0.2">
      <c r="A17" s="164" t="s">
        <v>27</v>
      </c>
      <c r="B17" s="127" t="s">
        <v>28</v>
      </c>
      <c r="C17" s="167">
        <f>C16*0.2</f>
        <v>2080.23</v>
      </c>
      <c r="D17" s="173" t="s">
        <v>11</v>
      </c>
      <c r="E17" s="174">
        <v>24</v>
      </c>
      <c r="F17" s="170">
        <f t="shared" si="1"/>
        <v>49925.520000000004</v>
      </c>
    </row>
    <row r="18" spans="1:6" ht="15" customHeight="1" x14ac:dyDescent="0.2">
      <c r="A18" s="164" t="s">
        <v>29</v>
      </c>
      <c r="B18" s="127" t="s">
        <v>30</v>
      </c>
      <c r="C18" s="167">
        <f>C16*0.1</f>
        <v>1040.115</v>
      </c>
      <c r="D18" s="173" t="s">
        <v>11</v>
      </c>
      <c r="E18" s="174">
        <v>110</v>
      </c>
      <c r="F18" s="170">
        <f t="shared" si="1"/>
        <v>114412.65</v>
      </c>
    </row>
    <row r="19" spans="1:6" ht="15" customHeight="1" x14ac:dyDescent="0.25">
      <c r="A19" s="163">
        <v>2.2000000000000002</v>
      </c>
      <c r="B19" s="62" t="s">
        <v>31</v>
      </c>
      <c r="C19" s="167"/>
      <c r="D19" s="168"/>
      <c r="E19" s="172"/>
      <c r="F19" s="170"/>
    </row>
    <row r="20" spans="1:6" ht="15" customHeight="1" x14ac:dyDescent="0.2">
      <c r="A20" s="164" t="s">
        <v>32</v>
      </c>
      <c r="B20" s="127" t="s">
        <v>22</v>
      </c>
      <c r="C20" s="167">
        <v>0</v>
      </c>
      <c r="D20" s="173" t="s">
        <v>11</v>
      </c>
      <c r="E20" s="174">
        <v>27</v>
      </c>
      <c r="F20" s="170">
        <f t="shared" ref="F20:F24" si="2">C20*E20</f>
        <v>0</v>
      </c>
    </row>
    <row r="21" spans="1:6" ht="15" customHeight="1" x14ac:dyDescent="0.2">
      <c r="A21" s="164" t="s">
        <v>33</v>
      </c>
      <c r="B21" s="127" t="s">
        <v>34</v>
      </c>
      <c r="C21" s="167">
        <f>C20</f>
        <v>0</v>
      </c>
      <c r="D21" s="173" t="s">
        <v>11</v>
      </c>
      <c r="E21" s="174">
        <f>ROUNDUP(32*150/75,0)</f>
        <v>64</v>
      </c>
      <c r="F21" s="170">
        <f t="shared" si="2"/>
        <v>0</v>
      </c>
    </row>
    <row r="22" spans="1:6" ht="15" customHeight="1" x14ac:dyDescent="0.2">
      <c r="A22" s="164" t="s">
        <v>35</v>
      </c>
      <c r="B22" s="127" t="s">
        <v>36</v>
      </c>
      <c r="C22" s="167">
        <v>0</v>
      </c>
      <c r="D22" s="173" t="s">
        <v>11</v>
      </c>
      <c r="E22" s="174">
        <f>ROUNDUP(18*300/110,0)</f>
        <v>50</v>
      </c>
      <c r="F22" s="170">
        <f t="shared" si="2"/>
        <v>0</v>
      </c>
    </row>
    <row r="23" spans="1:6" ht="15" customHeight="1" x14ac:dyDescent="0.2">
      <c r="A23" s="164" t="s">
        <v>37</v>
      </c>
      <c r="B23" s="127" t="s">
        <v>28</v>
      </c>
      <c r="C23" s="167">
        <f>C22*0.2</f>
        <v>0</v>
      </c>
      <c r="D23" s="173" t="s">
        <v>11</v>
      </c>
      <c r="E23" s="174">
        <v>24</v>
      </c>
      <c r="F23" s="170">
        <f t="shared" si="2"/>
        <v>0</v>
      </c>
    </row>
    <row r="24" spans="1:6" ht="15" customHeight="1" x14ac:dyDescent="0.2">
      <c r="A24" s="164" t="s">
        <v>38</v>
      </c>
      <c r="B24" s="127" t="s">
        <v>30</v>
      </c>
      <c r="C24" s="167">
        <f>C22*0.1</f>
        <v>0</v>
      </c>
      <c r="D24" s="173" t="s">
        <v>11</v>
      </c>
      <c r="E24" s="174">
        <v>110</v>
      </c>
      <c r="F24" s="170">
        <f t="shared" si="2"/>
        <v>0</v>
      </c>
    </row>
    <row r="25" spans="1:6" ht="15" customHeight="1" x14ac:dyDescent="0.25">
      <c r="A25" s="163">
        <v>2.2999999999999998</v>
      </c>
      <c r="B25" s="62" t="s">
        <v>39</v>
      </c>
      <c r="C25" s="179"/>
      <c r="D25" s="179"/>
      <c r="E25" s="179"/>
      <c r="F25" s="180"/>
    </row>
    <row r="26" spans="1:6" ht="15" customHeight="1" x14ac:dyDescent="0.2">
      <c r="A26" s="164" t="s">
        <v>40</v>
      </c>
      <c r="B26" s="127" t="s">
        <v>41</v>
      </c>
      <c r="C26" s="167">
        <f>190*7.3</f>
        <v>1387</v>
      </c>
      <c r="D26" s="173" t="s">
        <v>11</v>
      </c>
      <c r="E26" s="174">
        <f>ROUNDUP(E14*0.85,0)</f>
        <v>23</v>
      </c>
      <c r="F26" s="170">
        <f t="shared" ref="F26:F30" si="3">C26*E26</f>
        <v>31901</v>
      </c>
    </row>
    <row r="27" spans="1:6" ht="15" customHeight="1" x14ac:dyDescent="0.2">
      <c r="A27" s="164" t="s">
        <v>42</v>
      </c>
      <c r="B27" s="127" t="s">
        <v>24</v>
      </c>
      <c r="C27" s="167">
        <f>C26</f>
        <v>1387</v>
      </c>
      <c r="D27" s="173" t="s">
        <v>11</v>
      </c>
      <c r="E27" s="174">
        <f>E15</f>
        <v>43</v>
      </c>
      <c r="F27" s="170">
        <f t="shared" si="3"/>
        <v>59641</v>
      </c>
    </row>
    <row r="28" spans="1:6" ht="15" customHeight="1" x14ac:dyDescent="0.2">
      <c r="A28" s="164" t="s">
        <v>43</v>
      </c>
      <c r="B28" s="127" t="s">
        <v>44</v>
      </c>
      <c r="C28" s="167">
        <f>C27+0.75*(103+103+87+56)</f>
        <v>1648.75</v>
      </c>
      <c r="D28" s="173" t="s">
        <v>11</v>
      </c>
      <c r="E28" s="174">
        <f>E16</f>
        <v>43</v>
      </c>
      <c r="F28" s="170">
        <f t="shared" si="3"/>
        <v>70896.25</v>
      </c>
    </row>
    <row r="29" spans="1:6" ht="15" customHeight="1" x14ac:dyDescent="0.2">
      <c r="A29" s="164" t="s">
        <v>45</v>
      </c>
      <c r="B29" s="127" t="s">
        <v>28</v>
      </c>
      <c r="C29" s="167">
        <f>C28*0.2</f>
        <v>329.75</v>
      </c>
      <c r="D29" s="173" t="s">
        <v>11</v>
      </c>
      <c r="E29" s="174">
        <f>E17</f>
        <v>24</v>
      </c>
      <c r="F29" s="170">
        <f t="shared" si="3"/>
        <v>7914</v>
      </c>
    </row>
    <row r="30" spans="1:6" ht="15" customHeight="1" x14ac:dyDescent="0.2">
      <c r="A30" s="164" t="s">
        <v>46</v>
      </c>
      <c r="B30" s="127" t="s">
        <v>30</v>
      </c>
      <c r="C30" s="167">
        <f>C28*0.1</f>
        <v>164.875</v>
      </c>
      <c r="D30" s="173" t="s">
        <v>11</v>
      </c>
      <c r="E30" s="174">
        <f>E18</f>
        <v>110</v>
      </c>
      <c r="F30" s="170">
        <f t="shared" si="3"/>
        <v>18136.25</v>
      </c>
    </row>
    <row r="31" spans="1:6" x14ac:dyDescent="0.25">
      <c r="A31" s="165">
        <v>3</v>
      </c>
      <c r="B31" s="70" t="s">
        <v>47</v>
      </c>
      <c r="C31" s="71"/>
      <c r="D31" s="72"/>
      <c r="E31" s="79"/>
      <c r="F31" s="74">
        <f>SUM(F33:F45)</f>
        <v>498640</v>
      </c>
    </row>
    <row r="32" spans="1:6" ht="15" customHeight="1" x14ac:dyDescent="0.25">
      <c r="A32" s="177">
        <v>3.1</v>
      </c>
      <c r="B32" s="62" t="s">
        <v>48</v>
      </c>
      <c r="C32" s="15"/>
      <c r="D32" s="14"/>
      <c r="E32" s="53"/>
      <c r="F32" s="16"/>
    </row>
    <row r="33" spans="1:6" ht="15" customHeight="1" x14ac:dyDescent="0.2">
      <c r="A33" s="178" t="s">
        <v>49</v>
      </c>
      <c r="B33" s="61" t="s">
        <v>50</v>
      </c>
      <c r="C33" s="167">
        <f>118+118+171+177+190+190+190+190+87+84+17+17+11+44+87+103+103</f>
        <v>1897</v>
      </c>
      <c r="D33" s="168" t="s">
        <v>51</v>
      </c>
      <c r="E33" s="169">
        <v>64</v>
      </c>
      <c r="F33" s="170">
        <f t="shared" ref="F33:F35" si="4">SUM(E33*C33)</f>
        <v>121408</v>
      </c>
    </row>
    <row r="34" spans="1:6" ht="15" customHeight="1" x14ac:dyDescent="0.2">
      <c r="A34" s="178" t="s">
        <v>52</v>
      </c>
      <c r="B34" s="61" t="s">
        <v>53</v>
      </c>
      <c r="C34" s="167">
        <v>0</v>
      </c>
      <c r="D34" s="168" t="s">
        <v>51</v>
      </c>
      <c r="E34" s="169">
        <v>61</v>
      </c>
      <c r="F34" s="170">
        <f t="shared" si="4"/>
        <v>0</v>
      </c>
    </row>
    <row r="35" spans="1:6" ht="15" customHeight="1" x14ac:dyDescent="0.2">
      <c r="A35" s="178" t="s">
        <v>54</v>
      </c>
      <c r="B35" s="61" t="s">
        <v>55</v>
      </c>
      <c r="C35" s="167">
        <v>0</v>
      </c>
      <c r="D35" s="168" t="s">
        <v>51</v>
      </c>
      <c r="E35" s="169">
        <v>52</v>
      </c>
      <c r="F35" s="170">
        <f t="shared" si="4"/>
        <v>0</v>
      </c>
    </row>
    <row r="36" spans="1:6" x14ac:dyDescent="0.25">
      <c r="A36" s="177">
        <v>3.2</v>
      </c>
      <c r="B36" s="62" t="s">
        <v>56</v>
      </c>
      <c r="C36" s="171"/>
      <c r="D36" s="171"/>
      <c r="E36" s="171"/>
      <c r="F36" s="171"/>
    </row>
    <row r="37" spans="1:6" ht="14.25" x14ac:dyDescent="0.2">
      <c r="A37" s="178" t="s">
        <v>57</v>
      </c>
      <c r="B37" s="61" t="s">
        <v>58</v>
      </c>
      <c r="C37" s="167">
        <v>0</v>
      </c>
      <c r="D37" s="168" t="s">
        <v>11</v>
      </c>
      <c r="E37" s="169">
        <v>70</v>
      </c>
      <c r="F37" s="170">
        <f>SUM(E37*C37)</f>
        <v>0</v>
      </c>
    </row>
    <row r="38" spans="1:6" ht="15" customHeight="1" x14ac:dyDescent="0.2">
      <c r="A38" s="178" t="s">
        <v>59</v>
      </c>
      <c r="B38" s="61" t="s">
        <v>60</v>
      </c>
      <c r="C38" s="167">
        <f>C37</f>
        <v>0</v>
      </c>
      <c r="D38" s="168" t="s">
        <v>11</v>
      </c>
      <c r="E38" s="169">
        <v>35</v>
      </c>
      <c r="F38" s="170">
        <f>SUM(E38*C38)</f>
        <v>0</v>
      </c>
    </row>
    <row r="39" spans="1:6" ht="15" customHeight="1" x14ac:dyDescent="0.25">
      <c r="A39" s="177">
        <v>3.3</v>
      </c>
      <c r="B39" s="62" t="s">
        <v>61</v>
      </c>
      <c r="E39" s="169"/>
      <c r="F39" s="170"/>
    </row>
    <row r="40" spans="1:6" ht="15" customHeight="1" x14ac:dyDescent="0.2">
      <c r="A40" s="178" t="s">
        <v>62</v>
      </c>
      <c r="B40" s="61" t="s">
        <v>63</v>
      </c>
      <c r="C40" s="167">
        <f>(39+10+89+2*103)*1.5</f>
        <v>516</v>
      </c>
      <c r="D40" s="168" t="s">
        <v>11</v>
      </c>
      <c r="E40" s="169">
        <f>ROUNDUP(E37*125/150,0)</f>
        <v>59</v>
      </c>
      <c r="F40" s="170">
        <f t="shared" ref="F40:F41" si="5">SUM(E40*C40)</f>
        <v>30444</v>
      </c>
    </row>
    <row r="41" spans="1:6" ht="15" customHeight="1" x14ac:dyDescent="0.2">
      <c r="A41" s="178" t="s">
        <v>64</v>
      </c>
      <c r="B41" s="61" t="s">
        <v>65</v>
      </c>
      <c r="C41" s="167">
        <f>C40</f>
        <v>516</v>
      </c>
      <c r="D41" s="168" t="s">
        <v>11</v>
      </c>
      <c r="E41" s="169">
        <f>ROUNDUP(E38*0.8,0)</f>
        <v>28</v>
      </c>
      <c r="F41" s="170">
        <f t="shared" si="5"/>
        <v>14448</v>
      </c>
    </row>
    <row r="42" spans="1:6" ht="15" customHeight="1" x14ac:dyDescent="0.25">
      <c r="A42" s="177">
        <v>3.4</v>
      </c>
      <c r="B42" s="62" t="s">
        <v>66</v>
      </c>
      <c r="E42" s="169"/>
      <c r="F42" s="170"/>
    </row>
    <row r="43" spans="1:6" ht="15" customHeight="1" x14ac:dyDescent="0.2">
      <c r="A43" s="178" t="s">
        <v>67</v>
      </c>
      <c r="B43" s="61" t="s">
        <v>63</v>
      </c>
      <c r="C43" s="167">
        <f>(2*118+180+168+4*190+77+83)*2.5+60</f>
        <v>3820</v>
      </c>
      <c r="D43" s="168" t="s">
        <v>11</v>
      </c>
      <c r="E43" s="169">
        <f>E40</f>
        <v>59</v>
      </c>
      <c r="F43" s="170">
        <f t="shared" ref="F43:F45" si="6">SUM(E43*C43)</f>
        <v>225380</v>
      </c>
    </row>
    <row r="44" spans="1:6" ht="14.25" x14ac:dyDescent="0.2">
      <c r="A44" s="178" t="s">
        <v>68</v>
      </c>
      <c r="B44" s="61" t="s">
        <v>65</v>
      </c>
      <c r="C44" s="167">
        <f>C43</f>
        <v>3820</v>
      </c>
      <c r="D44" s="168" t="s">
        <v>11</v>
      </c>
      <c r="E44" s="169">
        <f>ROUNDUP(E38*0.8,0)</f>
        <v>28</v>
      </c>
      <c r="F44" s="170">
        <f t="shared" si="6"/>
        <v>106960</v>
      </c>
    </row>
    <row r="45" spans="1:6" ht="15" customHeight="1" x14ac:dyDescent="0.2">
      <c r="A45" s="177">
        <v>3.5</v>
      </c>
      <c r="B45" s="61" t="s">
        <v>69</v>
      </c>
      <c r="C45" s="167">
        <v>0</v>
      </c>
      <c r="D45" s="168" t="s">
        <v>14</v>
      </c>
      <c r="E45" s="169">
        <v>650</v>
      </c>
      <c r="F45" s="170">
        <f t="shared" si="6"/>
        <v>0</v>
      </c>
    </row>
    <row r="46" spans="1:6" ht="15" customHeight="1" x14ac:dyDescent="0.25">
      <c r="A46" s="165">
        <v>4</v>
      </c>
      <c r="B46" s="70" t="s">
        <v>70</v>
      </c>
      <c r="C46" s="71"/>
      <c r="D46" s="72"/>
      <c r="E46" s="79"/>
      <c r="F46" s="74">
        <f>SUM(F47:F60)</f>
        <v>567590</v>
      </c>
    </row>
    <row r="47" spans="1:6" ht="15" customHeight="1" x14ac:dyDescent="0.2">
      <c r="A47" s="177">
        <v>4.0999999999999996</v>
      </c>
      <c r="B47" s="61" t="s">
        <v>71</v>
      </c>
      <c r="C47" s="15">
        <v>23</v>
      </c>
      <c r="D47" s="14" t="s">
        <v>14</v>
      </c>
      <c r="E47" s="53">
        <v>4900</v>
      </c>
      <c r="F47" s="16">
        <f t="shared" ref="F47:F63" si="7">E47*C47</f>
        <v>112700</v>
      </c>
    </row>
    <row r="48" spans="1:6" ht="15" customHeight="1" x14ac:dyDescent="0.2">
      <c r="A48" s="177">
        <v>4.2</v>
      </c>
      <c r="B48" s="61" t="s">
        <v>72</v>
      </c>
      <c r="C48" s="15">
        <v>3</v>
      </c>
      <c r="D48" s="14" t="s">
        <v>14</v>
      </c>
      <c r="E48" s="53">
        <v>1650</v>
      </c>
      <c r="F48" s="16">
        <f t="shared" si="7"/>
        <v>4950</v>
      </c>
    </row>
    <row r="49" spans="1:6" ht="15" customHeight="1" x14ac:dyDescent="0.25">
      <c r="A49" s="177">
        <v>4.3</v>
      </c>
      <c r="B49" s="62" t="s">
        <v>73</v>
      </c>
      <c r="C49" s="15"/>
      <c r="D49" s="14"/>
      <c r="E49" s="53"/>
      <c r="F49" s="16"/>
    </row>
    <row r="50" spans="1:6" ht="15" customHeight="1" x14ac:dyDescent="0.2">
      <c r="A50" s="178" t="s">
        <v>74</v>
      </c>
      <c r="B50" s="61" t="s">
        <v>75</v>
      </c>
      <c r="C50" s="15">
        <v>2</v>
      </c>
      <c r="D50" s="14" t="s">
        <v>14</v>
      </c>
      <c r="E50" s="53">
        <v>4200</v>
      </c>
      <c r="F50" s="16">
        <f t="shared" si="7"/>
        <v>8400</v>
      </c>
    </row>
    <row r="51" spans="1:6" ht="15" customHeight="1" x14ac:dyDescent="0.2">
      <c r="A51" s="178" t="s">
        <v>76</v>
      </c>
      <c r="B51" s="61" t="s">
        <v>77</v>
      </c>
      <c r="C51" s="15">
        <v>0</v>
      </c>
      <c r="D51" s="14" t="s">
        <v>14</v>
      </c>
      <c r="E51" s="53">
        <v>5300</v>
      </c>
      <c r="F51" s="16">
        <f t="shared" si="7"/>
        <v>0</v>
      </c>
    </row>
    <row r="52" spans="1:6" ht="15" customHeight="1" x14ac:dyDescent="0.25">
      <c r="A52" s="177">
        <v>4.4000000000000004</v>
      </c>
      <c r="B52" s="62" t="s">
        <v>78</v>
      </c>
      <c r="C52" s="15"/>
      <c r="D52" s="14"/>
      <c r="E52" s="53"/>
      <c r="F52" s="16"/>
    </row>
    <row r="53" spans="1:6" ht="15" customHeight="1" x14ac:dyDescent="0.2">
      <c r="A53" s="178" t="s">
        <v>79</v>
      </c>
      <c r="B53" s="61" t="s">
        <v>80</v>
      </c>
      <c r="C53" s="15">
        <f>120+15+18+90+180</f>
        <v>423</v>
      </c>
      <c r="D53" s="14" t="s">
        <v>51</v>
      </c>
      <c r="E53" s="53">
        <v>325</v>
      </c>
      <c r="F53" s="16">
        <f t="shared" si="7"/>
        <v>137475</v>
      </c>
    </row>
    <row r="54" spans="1:6" ht="15" customHeight="1" x14ac:dyDescent="0.2">
      <c r="A54" s="178" t="s">
        <v>81</v>
      </c>
      <c r="B54" s="61" t="s">
        <v>82</v>
      </c>
      <c r="C54" s="15">
        <f>203+270</f>
        <v>473</v>
      </c>
      <c r="D54" s="14" t="s">
        <v>51</v>
      </c>
      <c r="E54" s="53">
        <v>480</v>
      </c>
      <c r="F54" s="16">
        <f t="shared" si="7"/>
        <v>227040</v>
      </c>
    </row>
    <row r="55" spans="1:6" ht="15" customHeight="1" x14ac:dyDescent="0.2">
      <c r="A55" s="178" t="s">
        <v>83</v>
      </c>
      <c r="B55" s="61" t="s">
        <v>84</v>
      </c>
      <c r="C55" s="15">
        <v>44</v>
      </c>
      <c r="D55" s="14" t="s">
        <v>51</v>
      </c>
      <c r="E55" s="53">
        <v>600</v>
      </c>
      <c r="F55" s="16">
        <f t="shared" si="7"/>
        <v>26400</v>
      </c>
    </row>
    <row r="56" spans="1:6" ht="15" customHeight="1" x14ac:dyDescent="0.2">
      <c r="A56" s="178" t="s">
        <v>85</v>
      </c>
      <c r="B56" s="61" t="s">
        <v>86</v>
      </c>
      <c r="C56" s="15">
        <v>0</v>
      </c>
      <c r="D56" s="14" t="s">
        <v>51</v>
      </c>
      <c r="E56" s="53">
        <v>750</v>
      </c>
      <c r="F56" s="16">
        <f t="shared" si="7"/>
        <v>0</v>
      </c>
    </row>
    <row r="57" spans="1:6" ht="15" customHeight="1" x14ac:dyDescent="0.25">
      <c r="A57" s="177">
        <v>4.5</v>
      </c>
      <c r="B57" s="62" t="s">
        <v>87</v>
      </c>
      <c r="C57" s="15"/>
      <c r="D57" s="14"/>
      <c r="E57" s="53"/>
      <c r="F57" s="16"/>
    </row>
    <row r="58" spans="1:6" ht="15" customHeight="1" x14ac:dyDescent="0.2">
      <c r="A58" s="178" t="s">
        <v>88</v>
      </c>
      <c r="B58" s="61" t="s">
        <v>89</v>
      </c>
      <c r="C58" s="15">
        <v>0</v>
      </c>
      <c r="D58" s="14" t="s">
        <v>14</v>
      </c>
      <c r="E58" s="53">
        <v>3800</v>
      </c>
      <c r="F58" s="16">
        <f t="shared" ref="F58" si="8">E58*C58</f>
        <v>0</v>
      </c>
    </row>
    <row r="59" spans="1:6" ht="15" customHeight="1" x14ac:dyDescent="0.2">
      <c r="A59" s="177">
        <v>4.5999999999999996</v>
      </c>
      <c r="B59" s="127" t="s">
        <v>90</v>
      </c>
      <c r="C59" s="15">
        <f>C33+C35</f>
        <v>1897</v>
      </c>
      <c r="D59" s="128" t="s">
        <v>51</v>
      </c>
      <c r="E59" s="53">
        <v>25</v>
      </c>
      <c r="F59" s="16">
        <f t="shared" si="7"/>
        <v>47425</v>
      </c>
    </row>
    <row r="60" spans="1:6" ht="15" customHeight="1" x14ac:dyDescent="0.2">
      <c r="A60" s="177">
        <v>4.7</v>
      </c>
      <c r="B60" s="127" t="s">
        <v>91</v>
      </c>
      <c r="C60" s="15">
        <v>8</v>
      </c>
      <c r="D60" s="128" t="s">
        <v>92</v>
      </c>
      <c r="E60" s="53">
        <v>400</v>
      </c>
      <c r="F60" s="16">
        <f t="shared" si="7"/>
        <v>3200</v>
      </c>
    </row>
    <row r="61" spans="1:6" ht="15" customHeight="1" x14ac:dyDescent="0.25">
      <c r="A61" s="165">
        <v>5</v>
      </c>
      <c r="B61" s="70" t="s">
        <v>93</v>
      </c>
      <c r="C61" s="71"/>
      <c r="D61" s="72"/>
      <c r="E61" s="73"/>
      <c r="F61" s="74">
        <f>SUM(F62:F63)</f>
        <v>0</v>
      </c>
    </row>
    <row r="62" spans="1:6" ht="15" customHeight="1" x14ac:dyDescent="0.2">
      <c r="A62" s="177">
        <v>5.0999999999999996</v>
      </c>
      <c r="B62" s="61" t="s">
        <v>94</v>
      </c>
      <c r="C62" s="167">
        <v>0</v>
      </c>
      <c r="D62" s="14" t="s">
        <v>14</v>
      </c>
      <c r="E62" s="53">
        <v>280000</v>
      </c>
      <c r="F62" s="16">
        <f t="shared" si="7"/>
        <v>0</v>
      </c>
    </row>
    <row r="63" spans="1:6" ht="15" customHeight="1" x14ac:dyDescent="0.2">
      <c r="A63" s="177">
        <v>5.2</v>
      </c>
      <c r="B63" s="61" t="s">
        <v>95</v>
      </c>
      <c r="C63" s="167">
        <v>0</v>
      </c>
      <c r="D63" s="14" t="s">
        <v>14</v>
      </c>
      <c r="E63" s="53"/>
      <c r="F63" s="16">
        <f t="shared" si="7"/>
        <v>0</v>
      </c>
    </row>
    <row r="64" spans="1:6" ht="15" customHeight="1" x14ac:dyDescent="0.25">
      <c r="A64" s="165">
        <v>6</v>
      </c>
      <c r="B64" s="70" t="s">
        <v>96</v>
      </c>
      <c r="C64" s="71"/>
      <c r="D64" s="72"/>
      <c r="E64" s="79"/>
      <c r="F64" s="74">
        <f>SUM(F65:F67)</f>
        <v>7980</v>
      </c>
    </row>
    <row r="65" spans="1:6" ht="15" customHeight="1" x14ac:dyDescent="0.2">
      <c r="A65" s="177">
        <v>6.1</v>
      </c>
      <c r="B65" s="61" t="s">
        <v>97</v>
      </c>
      <c r="C65" s="15">
        <v>38</v>
      </c>
      <c r="D65" s="14" t="s">
        <v>14</v>
      </c>
      <c r="E65" s="53">
        <v>50</v>
      </c>
      <c r="F65" s="16">
        <f t="shared" ref="F65:F71" si="9">E65*C65</f>
        <v>1900</v>
      </c>
    </row>
    <row r="66" spans="1:6" ht="15" customHeight="1" x14ac:dyDescent="0.2">
      <c r="A66" s="177">
        <v>6.2</v>
      </c>
      <c r="B66" s="61" t="s">
        <v>98</v>
      </c>
      <c r="C66" s="15">
        <v>0</v>
      </c>
      <c r="D66" s="14" t="s">
        <v>11</v>
      </c>
      <c r="E66" s="53">
        <v>60</v>
      </c>
      <c r="F66" s="16">
        <f t="shared" si="9"/>
        <v>0</v>
      </c>
    </row>
    <row r="67" spans="1:6" ht="15" customHeight="1" x14ac:dyDescent="0.2">
      <c r="A67" s="177">
        <v>6.3</v>
      </c>
      <c r="B67" s="61" t="s">
        <v>99</v>
      </c>
      <c r="C67" s="15">
        <f>380*6.4</f>
        <v>2432</v>
      </c>
      <c r="D67" s="14" t="s">
        <v>11</v>
      </c>
      <c r="E67" s="53">
        <v>2.5</v>
      </c>
      <c r="F67" s="16">
        <f t="shared" si="9"/>
        <v>6080</v>
      </c>
    </row>
    <row r="68" spans="1:6" ht="15" customHeight="1" x14ac:dyDescent="0.25">
      <c r="A68" s="165">
        <v>7</v>
      </c>
      <c r="B68" s="70" t="s">
        <v>100</v>
      </c>
      <c r="C68" s="71"/>
      <c r="D68" s="72"/>
      <c r="E68" s="73"/>
      <c r="F68" s="74">
        <f>SUM(F69:F72)</f>
        <v>254288</v>
      </c>
    </row>
    <row r="69" spans="1:6" ht="15" customHeight="1" x14ac:dyDescent="0.2">
      <c r="A69" s="177">
        <v>7.1</v>
      </c>
      <c r="B69" s="61" t="s">
        <v>101</v>
      </c>
      <c r="C69" s="15">
        <v>0</v>
      </c>
      <c r="D69" s="14" t="s">
        <v>14</v>
      </c>
      <c r="E69" s="53">
        <v>100000</v>
      </c>
      <c r="F69" s="16">
        <f t="shared" si="9"/>
        <v>0</v>
      </c>
    </row>
    <row r="70" spans="1:6" ht="15" customHeight="1" x14ac:dyDescent="0.2">
      <c r="A70" s="177">
        <v>7.2</v>
      </c>
      <c r="B70" s="61" t="s">
        <v>102</v>
      </c>
      <c r="C70" s="15">
        <v>1</v>
      </c>
      <c r="D70" s="14" t="s">
        <v>14</v>
      </c>
      <c r="E70" s="53">
        <v>80000</v>
      </c>
      <c r="F70" s="16">
        <f t="shared" si="9"/>
        <v>80000</v>
      </c>
    </row>
    <row r="71" spans="1:6" ht="15" customHeight="1" x14ac:dyDescent="0.2">
      <c r="A71" s="177">
        <v>7.3</v>
      </c>
      <c r="B71" s="61" t="s">
        <v>103</v>
      </c>
      <c r="C71" s="15">
        <f>118+174+190+190+90+87+103-70</f>
        <v>882</v>
      </c>
      <c r="D71" s="14" t="s">
        <v>51</v>
      </c>
      <c r="E71" s="53">
        <v>160</v>
      </c>
      <c r="F71" s="16">
        <f t="shared" si="9"/>
        <v>141120</v>
      </c>
    </row>
    <row r="72" spans="1:6" ht="15" customHeight="1" x14ac:dyDescent="0.2">
      <c r="A72" s="177">
        <v>7.4</v>
      </c>
      <c r="B72" s="61" t="s">
        <v>104</v>
      </c>
      <c r="C72" s="15">
        <v>15</v>
      </c>
      <c r="D72" s="14" t="s">
        <v>105</v>
      </c>
      <c r="E72" s="53">
        <f>SUM(F69:F71)</f>
        <v>221120</v>
      </c>
      <c r="F72" s="16">
        <f>E72*C72/100</f>
        <v>33168</v>
      </c>
    </row>
    <row r="73" spans="1:6" ht="15" customHeight="1" x14ac:dyDescent="0.25">
      <c r="A73" s="165">
        <v>8</v>
      </c>
      <c r="B73" s="70" t="s">
        <v>106</v>
      </c>
      <c r="C73" s="71"/>
      <c r="D73" s="72"/>
      <c r="E73" s="73"/>
      <c r="F73" s="74">
        <f>SUM(F74:F79)</f>
        <v>71464.586800000005</v>
      </c>
    </row>
    <row r="74" spans="1:6" ht="15" customHeight="1" x14ac:dyDescent="0.2">
      <c r="A74" s="177">
        <v>8.1</v>
      </c>
      <c r="B74" s="61" t="s">
        <v>107</v>
      </c>
      <c r="C74" s="15">
        <v>1</v>
      </c>
      <c r="D74" s="14" t="s">
        <v>14</v>
      </c>
      <c r="E74" s="53">
        <v>4000</v>
      </c>
      <c r="F74" s="16">
        <f t="shared" ref="F74:F76" si="10">C74*E74</f>
        <v>4000</v>
      </c>
    </row>
    <row r="75" spans="1:6" ht="15" customHeight="1" x14ac:dyDescent="0.2">
      <c r="A75" s="177">
        <v>8.1999999999999993</v>
      </c>
      <c r="B75" s="61" t="s">
        <v>108</v>
      </c>
      <c r="C75" s="15">
        <v>13</v>
      </c>
      <c r="D75" s="14" t="s">
        <v>14</v>
      </c>
      <c r="E75" s="53">
        <v>280</v>
      </c>
      <c r="F75" s="16">
        <f t="shared" si="10"/>
        <v>3640</v>
      </c>
    </row>
    <row r="76" spans="1:6" ht="15" customHeight="1" x14ac:dyDescent="0.2">
      <c r="A76" s="177">
        <v>8.3000000000000007</v>
      </c>
      <c r="B76" s="61" t="s">
        <v>109</v>
      </c>
      <c r="C76" s="15">
        <v>1</v>
      </c>
      <c r="D76" s="14" t="s">
        <v>14</v>
      </c>
      <c r="E76" s="53">
        <f>0.015*(F46+F31+F12)</f>
        <v>37198.786800000002</v>
      </c>
      <c r="F76" s="16">
        <f t="shared" si="10"/>
        <v>37198.786800000002</v>
      </c>
    </row>
    <row r="77" spans="1:6" ht="15" customHeight="1" x14ac:dyDescent="0.2">
      <c r="A77" s="177">
        <v>8.4</v>
      </c>
      <c r="B77" s="61" t="s">
        <v>110</v>
      </c>
      <c r="C77" s="15">
        <v>1</v>
      </c>
      <c r="D77" s="14" t="s">
        <v>14</v>
      </c>
      <c r="E77" s="53">
        <f>0.15*F64</f>
        <v>1197</v>
      </c>
      <c r="F77" s="16">
        <f>C77*E77</f>
        <v>1197</v>
      </c>
    </row>
    <row r="78" spans="1:6" ht="15" customHeight="1" x14ac:dyDescent="0.2">
      <c r="A78" s="177">
        <v>8.5</v>
      </c>
      <c r="B78" s="61" t="s">
        <v>111</v>
      </c>
      <c r="C78" s="15">
        <v>10</v>
      </c>
      <c r="D78" s="14" t="s">
        <v>112</v>
      </c>
      <c r="E78" s="53">
        <f>F62*0.015</f>
        <v>0</v>
      </c>
      <c r="F78" s="16">
        <f>C78*E78</f>
        <v>0</v>
      </c>
    </row>
    <row r="79" spans="1:6" ht="14.25" x14ac:dyDescent="0.2">
      <c r="A79" s="177">
        <v>8.6</v>
      </c>
      <c r="B79" s="61" t="s">
        <v>113</v>
      </c>
      <c r="C79" s="15">
        <v>1</v>
      </c>
      <c r="D79" s="14" t="s">
        <v>14</v>
      </c>
      <c r="E79" s="53">
        <f>0.1*F68</f>
        <v>25428.800000000003</v>
      </c>
      <c r="F79" s="16">
        <f>C79*E79</f>
        <v>25428.800000000003</v>
      </c>
    </row>
    <row r="80" spans="1:6" ht="15" customHeight="1" x14ac:dyDescent="0.25">
      <c r="A80" s="165">
        <v>9</v>
      </c>
      <c r="B80" s="70" t="s">
        <v>114</v>
      </c>
      <c r="C80" s="71"/>
      <c r="D80" s="72"/>
      <c r="E80" s="73"/>
      <c r="F80" s="74">
        <f>SUM(F81:F83)</f>
        <v>10000</v>
      </c>
    </row>
    <row r="81" spans="1:6" ht="15" customHeight="1" x14ac:dyDescent="0.2">
      <c r="A81" s="177">
        <v>9.1</v>
      </c>
      <c r="B81" s="61" t="s">
        <v>130</v>
      </c>
      <c r="C81" s="15">
        <v>1</v>
      </c>
      <c r="D81" s="14" t="s">
        <v>14</v>
      </c>
      <c r="E81" s="53">
        <v>10000</v>
      </c>
      <c r="F81" s="16">
        <f t="shared" ref="F81" si="11">C81*E81</f>
        <v>10000</v>
      </c>
    </row>
    <row r="82" spans="1:6" ht="15" customHeight="1" x14ac:dyDescent="0.2">
      <c r="A82" s="177"/>
      <c r="B82" s="61"/>
      <c r="C82" s="15"/>
      <c r="D82" s="14"/>
      <c r="E82" s="53"/>
      <c r="F82" s="16"/>
    </row>
    <row r="83" spans="1:6" ht="15" customHeight="1" x14ac:dyDescent="0.2">
      <c r="A83" s="177"/>
      <c r="B83" s="61"/>
      <c r="C83" s="15"/>
      <c r="D83" s="14"/>
      <c r="E83" s="53"/>
      <c r="F83" s="16"/>
    </row>
    <row r="84" spans="1:6" ht="15" customHeight="1" x14ac:dyDescent="0.25">
      <c r="A84" s="92"/>
      <c r="B84" s="160" t="s">
        <v>115</v>
      </c>
      <c r="C84" s="75"/>
      <c r="D84" s="76"/>
      <c r="E84" s="83"/>
      <c r="F84" s="181">
        <f>SUM(F5,F12,F31,F46,F61,F64,F68,F73,F80)</f>
        <v>3216497.2210000004</v>
      </c>
    </row>
    <row r="85" spans="1:6" ht="15" customHeight="1" x14ac:dyDescent="0.25">
      <c r="A85" s="165">
        <v>10</v>
      </c>
      <c r="B85" s="70" t="s">
        <v>116</v>
      </c>
      <c r="C85" s="71"/>
      <c r="D85" s="72"/>
      <c r="E85" s="73"/>
      <c r="F85" s="74"/>
    </row>
    <row r="86" spans="1:6" ht="15" customHeight="1" x14ac:dyDescent="0.2">
      <c r="A86" s="177">
        <v>10.1</v>
      </c>
      <c r="B86" s="61" t="s">
        <v>117</v>
      </c>
      <c r="C86" s="166">
        <v>3.25</v>
      </c>
      <c r="D86" s="14" t="s">
        <v>105</v>
      </c>
      <c r="E86" s="175"/>
      <c r="F86" s="176">
        <f>C86%*F$84</f>
        <v>104536.15968250002</v>
      </c>
    </row>
    <row r="87" spans="1:6" ht="15" customHeight="1" x14ac:dyDescent="0.2">
      <c r="A87" s="177">
        <v>10.199999999999999</v>
      </c>
      <c r="B87" s="61" t="s">
        <v>118</v>
      </c>
      <c r="C87" s="166">
        <v>1</v>
      </c>
      <c r="D87" s="14" t="s">
        <v>105</v>
      </c>
      <c r="E87" s="175"/>
      <c r="F87" s="176">
        <f t="shared" ref="F87:F93" si="12">C87%*F$84</f>
        <v>32164.972210000004</v>
      </c>
    </row>
    <row r="88" spans="1:6" ht="15" customHeight="1" x14ac:dyDescent="0.2">
      <c r="A88" s="177">
        <v>10.3</v>
      </c>
      <c r="B88" s="61" t="s">
        <v>119</v>
      </c>
      <c r="C88" s="166">
        <v>5</v>
      </c>
      <c r="D88" s="14" t="s">
        <v>105</v>
      </c>
      <c r="E88" s="175"/>
      <c r="F88" s="176">
        <f t="shared" si="12"/>
        <v>160824.86105000004</v>
      </c>
    </row>
    <row r="89" spans="1:6" ht="15" customHeight="1" x14ac:dyDescent="0.2">
      <c r="A89" s="177">
        <v>10.4</v>
      </c>
      <c r="B89" s="61" t="s">
        <v>120</v>
      </c>
      <c r="C89" s="166">
        <v>0.5</v>
      </c>
      <c r="D89" s="14" t="s">
        <v>105</v>
      </c>
      <c r="E89" s="175"/>
      <c r="F89" s="176">
        <f t="shared" si="12"/>
        <v>16082.486105000002</v>
      </c>
    </row>
    <row r="90" spans="1:6" ht="15" customHeight="1" x14ac:dyDescent="0.2">
      <c r="A90" s="177">
        <v>10.5</v>
      </c>
      <c r="B90" s="61" t="s">
        <v>121</v>
      </c>
      <c r="C90" s="166">
        <v>5</v>
      </c>
      <c r="D90" s="14" t="s">
        <v>105</v>
      </c>
      <c r="E90" s="175"/>
      <c r="F90" s="176">
        <f t="shared" si="12"/>
        <v>160824.86105000004</v>
      </c>
    </row>
    <row r="91" spans="1:6" ht="15" customHeight="1" x14ac:dyDescent="0.2">
      <c r="A91" s="177">
        <v>10.6</v>
      </c>
      <c r="B91" s="61" t="s">
        <v>122</v>
      </c>
      <c r="C91" s="166">
        <v>9</v>
      </c>
      <c r="D91" s="14" t="s">
        <v>105</v>
      </c>
      <c r="E91" s="175"/>
      <c r="F91" s="176">
        <f t="shared" si="12"/>
        <v>289484.74989000004</v>
      </c>
    </row>
    <row r="92" spans="1:6" ht="15" customHeight="1" x14ac:dyDescent="0.2">
      <c r="A92" s="177">
        <v>10.7</v>
      </c>
      <c r="B92" s="61" t="s">
        <v>123</v>
      </c>
      <c r="C92" s="166">
        <v>2.5</v>
      </c>
      <c r="D92" s="14" t="s">
        <v>105</v>
      </c>
      <c r="E92" s="175"/>
      <c r="F92" s="176">
        <f t="shared" si="12"/>
        <v>80412.430525000018</v>
      </c>
    </row>
    <row r="93" spans="1:6" ht="15" customHeight="1" x14ac:dyDescent="0.2">
      <c r="A93" s="177">
        <v>10.8</v>
      </c>
      <c r="B93" s="61" t="s">
        <v>124</v>
      </c>
      <c r="C93" s="166">
        <v>15</v>
      </c>
      <c r="D93" s="14" t="s">
        <v>105</v>
      </c>
      <c r="E93" s="175"/>
      <c r="F93" s="176">
        <f t="shared" si="12"/>
        <v>482474.58315000002</v>
      </c>
    </row>
    <row r="94" spans="1:6" ht="15" customHeight="1" x14ac:dyDescent="0.25">
      <c r="A94" s="92"/>
      <c r="B94" s="160" t="s">
        <v>125</v>
      </c>
      <c r="C94" s="75"/>
      <c r="D94" s="76"/>
      <c r="E94" s="83"/>
      <c r="F94" s="181">
        <f>SUM(F84:F93)</f>
        <v>4543302.324662501</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F94"/>
  <sheetViews>
    <sheetView workbookViewId="0">
      <selection activeCell="C26" sqref="C26"/>
    </sheetView>
  </sheetViews>
  <sheetFormatPr defaultColWidth="9.140625" defaultRowHeight="15" customHeight="1" x14ac:dyDescent="0.2"/>
  <cols>
    <col min="1" max="1" width="12.7109375" style="162" customWidth="1"/>
    <col min="2" max="2" width="50.7109375" style="162" customWidth="1"/>
    <col min="3" max="4" width="12.7109375" style="162" customWidth="1"/>
    <col min="5" max="6" width="15.7109375" style="162" customWidth="1"/>
    <col min="7" max="16384" width="9.140625" style="162"/>
  </cols>
  <sheetData>
    <row r="1" spans="1:6" ht="15" customHeight="1" x14ac:dyDescent="0.25">
      <c r="A1" s="1" t="s">
        <v>0</v>
      </c>
      <c r="F1" s="161">
        <v>43544</v>
      </c>
    </row>
    <row r="2" spans="1:6" ht="15" customHeight="1" x14ac:dyDescent="0.25">
      <c r="A2" s="1" t="s">
        <v>138</v>
      </c>
    </row>
    <row r="4" spans="1:6" ht="30" x14ac:dyDescent="0.2">
      <c r="A4" s="182" t="s">
        <v>2</v>
      </c>
      <c r="B4" s="182" t="s">
        <v>3</v>
      </c>
      <c r="C4" s="182" t="s">
        <v>4</v>
      </c>
      <c r="D4" s="182" t="s">
        <v>5</v>
      </c>
      <c r="E4" s="183" t="s">
        <v>6</v>
      </c>
      <c r="F4" s="183" t="s">
        <v>7</v>
      </c>
    </row>
    <row r="5" spans="1:6" ht="15" customHeight="1" x14ac:dyDescent="0.25">
      <c r="A5" s="165">
        <v>1</v>
      </c>
      <c r="B5" s="70" t="s">
        <v>8</v>
      </c>
      <c r="C5" s="71"/>
      <c r="D5" s="72"/>
      <c r="E5" s="79"/>
      <c r="F5" s="74">
        <f>SUM(F6:F11)</f>
        <v>126514.74950000001</v>
      </c>
    </row>
    <row r="6" spans="1:6" ht="15" customHeight="1" x14ac:dyDescent="0.2">
      <c r="A6" s="177">
        <v>1.1000000000000001</v>
      </c>
      <c r="B6" s="127" t="s">
        <v>9</v>
      </c>
      <c r="C6" s="167">
        <f>C7</f>
        <v>3743.7</v>
      </c>
      <c r="D6" s="173" t="s">
        <v>11</v>
      </c>
      <c r="E6" s="174">
        <v>5</v>
      </c>
      <c r="F6" s="170">
        <f t="shared" ref="F6:F11" si="0">C6*E6</f>
        <v>18718.5</v>
      </c>
    </row>
    <row r="7" spans="1:6" ht="15" customHeight="1" x14ac:dyDescent="0.2">
      <c r="A7" s="177">
        <v>1.2</v>
      </c>
      <c r="B7" s="127" t="s">
        <v>12</v>
      </c>
      <c r="C7" s="167">
        <f>ROUNDUP(C33/2*5,0)+C43+C40+(C14+C20+C26)*0.2</f>
        <v>3743.7</v>
      </c>
      <c r="D7" s="173" t="s">
        <v>11</v>
      </c>
      <c r="E7" s="174">
        <v>7</v>
      </c>
      <c r="F7" s="170">
        <f t="shared" si="0"/>
        <v>26205.899999999998</v>
      </c>
    </row>
    <row r="8" spans="1:6" ht="15" customHeight="1" x14ac:dyDescent="0.2">
      <c r="A8" s="177">
        <v>1.3</v>
      </c>
      <c r="B8" s="127" t="s">
        <v>13</v>
      </c>
      <c r="C8" s="167">
        <v>1</v>
      </c>
      <c r="D8" s="173" t="s">
        <v>14</v>
      </c>
      <c r="E8" s="174">
        <v>2000</v>
      </c>
      <c r="F8" s="170">
        <f t="shared" si="0"/>
        <v>2000</v>
      </c>
    </row>
    <row r="9" spans="1:6" ht="15" customHeight="1" x14ac:dyDescent="0.2">
      <c r="A9" s="177">
        <v>1.4</v>
      </c>
      <c r="B9" s="127" t="s">
        <v>15</v>
      </c>
      <c r="C9" s="167">
        <v>1</v>
      </c>
      <c r="D9" s="173" t="s">
        <v>14</v>
      </c>
      <c r="E9" s="174">
        <v>8000</v>
      </c>
      <c r="F9" s="170">
        <f t="shared" si="0"/>
        <v>8000</v>
      </c>
    </row>
    <row r="10" spans="1:6" ht="15" customHeight="1" x14ac:dyDescent="0.2">
      <c r="A10" s="177">
        <v>1.5</v>
      </c>
      <c r="B10" s="127" t="s">
        <v>16</v>
      </c>
      <c r="C10" s="167">
        <f>(C16*0.4+C37*0.25+C43*0.175+C17*0.3)*0.6</f>
        <v>1079.2515000000001</v>
      </c>
      <c r="D10" s="173" t="s">
        <v>17</v>
      </c>
      <c r="E10" s="174">
        <v>45</v>
      </c>
      <c r="F10" s="170">
        <f t="shared" si="0"/>
        <v>48566.317500000005</v>
      </c>
    </row>
    <row r="11" spans="1:6" ht="15" customHeight="1" x14ac:dyDescent="0.2">
      <c r="A11" s="177">
        <v>1.6</v>
      </c>
      <c r="B11" s="127" t="s">
        <v>18</v>
      </c>
      <c r="C11" s="167">
        <f>(C16*0.4+C37*0.25+C43*0.175+C17*0.3)*0.4</f>
        <v>719.50100000000009</v>
      </c>
      <c r="D11" s="173" t="s">
        <v>17</v>
      </c>
      <c r="E11" s="174">
        <v>32</v>
      </c>
      <c r="F11" s="170">
        <f t="shared" si="0"/>
        <v>23024.032000000003</v>
      </c>
    </row>
    <row r="12" spans="1:6" ht="15" customHeight="1" x14ac:dyDescent="0.25">
      <c r="A12" s="165">
        <v>2</v>
      </c>
      <c r="B12" s="70" t="s">
        <v>19</v>
      </c>
      <c r="C12" s="71"/>
      <c r="D12" s="72"/>
      <c r="E12" s="79"/>
      <c r="F12" s="74">
        <f>SUM(F14:F30)</f>
        <v>393033.2</v>
      </c>
    </row>
    <row r="13" spans="1:6" ht="15" customHeight="1" x14ac:dyDescent="0.25">
      <c r="A13" s="163">
        <v>2.1</v>
      </c>
      <c r="B13" s="62" t="s">
        <v>20</v>
      </c>
      <c r="C13" s="167"/>
      <c r="D13" s="168"/>
      <c r="E13" s="172"/>
      <c r="F13" s="170"/>
    </row>
    <row r="14" spans="1:6" ht="15" customHeight="1" x14ac:dyDescent="0.2">
      <c r="A14" s="164" t="s">
        <v>21</v>
      </c>
      <c r="B14" s="127" t="s">
        <v>22</v>
      </c>
      <c r="C14" s="167">
        <f>260*9.3+59*7</f>
        <v>2831</v>
      </c>
      <c r="D14" s="173" t="s">
        <v>11</v>
      </c>
      <c r="E14" s="174">
        <v>27</v>
      </c>
      <c r="F14" s="170">
        <f t="shared" ref="F14:F18" si="1">C14*E14</f>
        <v>76437</v>
      </c>
    </row>
    <row r="15" spans="1:6" ht="15" customHeight="1" x14ac:dyDescent="0.2">
      <c r="A15" s="164" t="s">
        <v>23</v>
      </c>
      <c r="B15" s="127" t="s">
        <v>24</v>
      </c>
      <c r="C15" s="167">
        <f>C14</f>
        <v>2831</v>
      </c>
      <c r="D15" s="173" t="s">
        <v>11</v>
      </c>
      <c r="E15" s="174">
        <f>ROUNDUP(32*100/75,0)</f>
        <v>43</v>
      </c>
      <c r="F15" s="170">
        <f t="shared" si="1"/>
        <v>121733</v>
      </c>
    </row>
    <row r="16" spans="1:6" ht="15" customHeight="1" x14ac:dyDescent="0.2">
      <c r="A16" s="164" t="s">
        <v>25</v>
      </c>
      <c r="B16" s="127" t="s">
        <v>26</v>
      </c>
      <c r="C16" s="167">
        <f>C15+(C35*0.45)+(C33*0.75)</f>
        <v>3314</v>
      </c>
      <c r="D16" s="173" t="s">
        <v>11</v>
      </c>
      <c r="E16" s="174">
        <f>ROUNDUP(18*260/110,0)</f>
        <v>43</v>
      </c>
      <c r="F16" s="170">
        <f t="shared" si="1"/>
        <v>142502</v>
      </c>
    </row>
    <row r="17" spans="1:6" ht="15" customHeight="1" x14ac:dyDescent="0.2">
      <c r="A17" s="164" t="s">
        <v>27</v>
      </c>
      <c r="B17" s="127" t="s">
        <v>28</v>
      </c>
      <c r="C17" s="167">
        <f>C16*0.2</f>
        <v>662.80000000000007</v>
      </c>
      <c r="D17" s="173" t="s">
        <v>11</v>
      </c>
      <c r="E17" s="174">
        <v>24</v>
      </c>
      <c r="F17" s="170">
        <f t="shared" si="1"/>
        <v>15907.2</v>
      </c>
    </row>
    <row r="18" spans="1:6" ht="15" customHeight="1" x14ac:dyDescent="0.2">
      <c r="A18" s="164" t="s">
        <v>29</v>
      </c>
      <c r="B18" s="127" t="s">
        <v>30</v>
      </c>
      <c r="C18" s="167">
        <f>C16*0.1</f>
        <v>331.40000000000003</v>
      </c>
      <c r="D18" s="173" t="s">
        <v>11</v>
      </c>
      <c r="E18" s="174">
        <v>110</v>
      </c>
      <c r="F18" s="170">
        <f t="shared" si="1"/>
        <v>36454.000000000007</v>
      </c>
    </row>
    <row r="19" spans="1:6" ht="15" customHeight="1" x14ac:dyDescent="0.25">
      <c r="A19" s="163">
        <v>2.2000000000000002</v>
      </c>
      <c r="B19" s="62" t="s">
        <v>31</v>
      </c>
      <c r="C19" s="167"/>
      <c r="D19" s="168"/>
      <c r="E19" s="172"/>
      <c r="F19" s="170"/>
    </row>
    <row r="20" spans="1:6" ht="15" customHeight="1" x14ac:dyDescent="0.2">
      <c r="A20" s="164" t="s">
        <v>32</v>
      </c>
      <c r="B20" s="127" t="s">
        <v>22</v>
      </c>
      <c r="C20" s="167">
        <v>0</v>
      </c>
      <c r="D20" s="173" t="s">
        <v>11</v>
      </c>
      <c r="E20" s="174">
        <v>27</v>
      </c>
      <c r="F20" s="170">
        <f t="shared" ref="F20:F24" si="2">C20*E20</f>
        <v>0</v>
      </c>
    </row>
    <row r="21" spans="1:6" ht="15" customHeight="1" x14ac:dyDescent="0.2">
      <c r="A21" s="164" t="s">
        <v>33</v>
      </c>
      <c r="B21" s="127" t="s">
        <v>34</v>
      </c>
      <c r="C21" s="167">
        <f>C20</f>
        <v>0</v>
      </c>
      <c r="D21" s="173" t="s">
        <v>11</v>
      </c>
      <c r="E21" s="174">
        <f>ROUNDUP(32*150/75,0)</f>
        <v>64</v>
      </c>
      <c r="F21" s="170">
        <f t="shared" si="2"/>
        <v>0</v>
      </c>
    </row>
    <row r="22" spans="1:6" ht="15" customHeight="1" x14ac:dyDescent="0.2">
      <c r="A22" s="164" t="s">
        <v>35</v>
      </c>
      <c r="B22" s="127" t="s">
        <v>36</v>
      </c>
      <c r="C22" s="167">
        <v>0</v>
      </c>
      <c r="D22" s="173" t="s">
        <v>11</v>
      </c>
      <c r="E22" s="174">
        <f>ROUNDUP(18*300/110,0)</f>
        <v>50</v>
      </c>
      <c r="F22" s="170">
        <f t="shared" si="2"/>
        <v>0</v>
      </c>
    </row>
    <row r="23" spans="1:6" ht="15" customHeight="1" x14ac:dyDescent="0.2">
      <c r="A23" s="164" t="s">
        <v>37</v>
      </c>
      <c r="B23" s="127" t="s">
        <v>28</v>
      </c>
      <c r="C23" s="167">
        <f>C22*0.2</f>
        <v>0</v>
      </c>
      <c r="D23" s="173" t="s">
        <v>11</v>
      </c>
      <c r="E23" s="174">
        <v>24</v>
      </c>
      <c r="F23" s="170">
        <f t="shared" si="2"/>
        <v>0</v>
      </c>
    </row>
    <row r="24" spans="1:6" ht="15" customHeight="1" x14ac:dyDescent="0.2">
      <c r="A24" s="164" t="s">
        <v>38</v>
      </c>
      <c r="B24" s="127" t="s">
        <v>30</v>
      </c>
      <c r="C24" s="167">
        <f>C22*0.1</f>
        <v>0</v>
      </c>
      <c r="D24" s="173" t="s">
        <v>11</v>
      </c>
      <c r="E24" s="174">
        <v>110</v>
      </c>
      <c r="F24" s="170">
        <f t="shared" si="2"/>
        <v>0</v>
      </c>
    </row>
    <row r="25" spans="1:6" ht="15" customHeight="1" x14ac:dyDescent="0.25">
      <c r="A25" s="163">
        <v>2.2999999999999998</v>
      </c>
      <c r="B25" s="62" t="s">
        <v>39</v>
      </c>
      <c r="C25" s="167"/>
      <c r="D25" s="179"/>
      <c r="E25" s="179"/>
      <c r="F25" s="180"/>
    </row>
    <row r="26" spans="1:6" ht="15" customHeight="1" x14ac:dyDescent="0.2">
      <c r="A26" s="164" t="s">
        <v>40</v>
      </c>
      <c r="B26" s="127" t="s">
        <v>41</v>
      </c>
      <c r="C26" s="167">
        <v>0</v>
      </c>
      <c r="D26" s="173" t="s">
        <v>11</v>
      </c>
      <c r="E26" s="174">
        <f>ROUNDUP(E14*0.85,0)</f>
        <v>23</v>
      </c>
      <c r="F26" s="170">
        <f t="shared" ref="F26:F30" si="3">C26*E26</f>
        <v>0</v>
      </c>
    </row>
    <row r="27" spans="1:6" ht="15" customHeight="1" x14ac:dyDescent="0.2">
      <c r="A27" s="164" t="s">
        <v>42</v>
      </c>
      <c r="B27" s="127" t="s">
        <v>24</v>
      </c>
      <c r="C27" s="167">
        <f>C26</f>
        <v>0</v>
      </c>
      <c r="D27" s="173" t="s">
        <v>11</v>
      </c>
      <c r="E27" s="174">
        <f>E15</f>
        <v>43</v>
      </c>
      <c r="F27" s="170">
        <f t="shared" si="3"/>
        <v>0</v>
      </c>
    </row>
    <row r="28" spans="1:6" ht="15" customHeight="1" x14ac:dyDescent="0.2">
      <c r="A28" s="164" t="s">
        <v>43</v>
      </c>
      <c r="B28" s="127" t="s">
        <v>44</v>
      </c>
      <c r="C28" s="167">
        <v>0</v>
      </c>
      <c r="D28" s="173" t="s">
        <v>11</v>
      </c>
      <c r="E28" s="174">
        <f>E16</f>
        <v>43</v>
      </c>
      <c r="F28" s="170">
        <f t="shared" si="3"/>
        <v>0</v>
      </c>
    </row>
    <row r="29" spans="1:6" ht="15" customHeight="1" x14ac:dyDescent="0.2">
      <c r="A29" s="164" t="s">
        <v>45</v>
      </c>
      <c r="B29" s="127" t="s">
        <v>28</v>
      </c>
      <c r="C29" s="167">
        <f>C28*0.2</f>
        <v>0</v>
      </c>
      <c r="D29" s="173" t="s">
        <v>11</v>
      </c>
      <c r="E29" s="174">
        <f>E17</f>
        <v>24</v>
      </c>
      <c r="F29" s="170">
        <f t="shared" si="3"/>
        <v>0</v>
      </c>
    </row>
    <row r="30" spans="1:6" ht="15" customHeight="1" x14ac:dyDescent="0.2">
      <c r="A30" s="164" t="s">
        <v>46</v>
      </c>
      <c r="B30" s="127" t="s">
        <v>30</v>
      </c>
      <c r="C30" s="167">
        <f>C28*0.1</f>
        <v>0</v>
      </c>
      <c r="D30" s="173" t="s">
        <v>11</v>
      </c>
      <c r="E30" s="174">
        <f>E18</f>
        <v>110</v>
      </c>
      <c r="F30" s="170">
        <f t="shared" si="3"/>
        <v>0</v>
      </c>
    </row>
    <row r="31" spans="1:6" x14ac:dyDescent="0.25">
      <c r="A31" s="165">
        <v>3</v>
      </c>
      <c r="B31" s="70" t="s">
        <v>47</v>
      </c>
      <c r="C31" s="71"/>
      <c r="D31" s="72"/>
      <c r="E31" s="79"/>
      <c r="F31" s="74">
        <f>SUM(F33:F45)</f>
        <v>177588.5</v>
      </c>
    </row>
    <row r="32" spans="1:6" ht="15" customHeight="1" x14ac:dyDescent="0.25">
      <c r="A32" s="177">
        <v>3.1</v>
      </c>
      <c r="B32" s="62" t="s">
        <v>48</v>
      </c>
      <c r="C32" s="15"/>
      <c r="D32" s="14"/>
      <c r="E32" s="53"/>
      <c r="F32" s="16"/>
    </row>
    <row r="33" spans="1:6" ht="15" customHeight="1" x14ac:dyDescent="0.2">
      <c r="A33" s="178" t="s">
        <v>49</v>
      </c>
      <c r="B33" s="61" t="s">
        <v>50</v>
      </c>
      <c r="C33" s="167">
        <f>131+133+380</f>
        <v>644</v>
      </c>
      <c r="D33" s="168" t="s">
        <v>51</v>
      </c>
      <c r="E33" s="169">
        <v>64</v>
      </c>
      <c r="F33" s="170">
        <f t="shared" ref="F33:F35" si="4">SUM(E33*C33)</f>
        <v>41216</v>
      </c>
    </row>
    <row r="34" spans="1:6" ht="15" customHeight="1" x14ac:dyDescent="0.2">
      <c r="A34" s="178" t="s">
        <v>52</v>
      </c>
      <c r="B34" s="61" t="s">
        <v>53</v>
      </c>
      <c r="C34" s="167">
        <v>0</v>
      </c>
      <c r="D34" s="168" t="s">
        <v>51</v>
      </c>
      <c r="E34" s="169">
        <v>61</v>
      </c>
      <c r="F34" s="170">
        <f t="shared" si="4"/>
        <v>0</v>
      </c>
    </row>
    <row r="35" spans="1:6" ht="15" customHeight="1" x14ac:dyDescent="0.2">
      <c r="A35" s="178" t="s">
        <v>54</v>
      </c>
      <c r="B35" s="61" t="s">
        <v>55</v>
      </c>
      <c r="C35" s="167">
        <v>0</v>
      </c>
      <c r="D35" s="168" t="s">
        <v>51</v>
      </c>
      <c r="E35" s="169">
        <v>52</v>
      </c>
      <c r="F35" s="170">
        <f t="shared" si="4"/>
        <v>0</v>
      </c>
    </row>
    <row r="36" spans="1:6" x14ac:dyDescent="0.25">
      <c r="A36" s="177">
        <v>3.2</v>
      </c>
      <c r="B36" s="62" t="s">
        <v>56</v>
      </c>
      <c r="C36" s="171"/>
      <c r="D36" s="171"/>
      <c r="E36" s="171"/>
      <c r="F36" s="171"/>
    </row>
    <row r="37" spans="1:6" ht="14.25" x14ac:dyDescent="0.2">
      <c r="A37" s="178" t="s">
        <v>57</v>
      </c>
      <c r="B37" s="61" t="s">
        <v>58</v>
      </c>
      <c r="C37" s="167">
        <v>0</v>
      </c>
      <c r="D37" s="168" t="s">
        <v>11</v>
      </c>
      <c r="E37" s="169">
        <v>70</v>
      </c>
      <c r="F37" s="170">
        <f>SUM(E37*C37)</f>
        <v>0</v>
      </c>
    </row>
    <row r="38" spans="1:6" ht="15" customHeight="1" x14ac:dyDescent="0.2">
      <c r="A38" s="178" t="s">
        <v>59</v>
      </c>
      <c r="B38" s="61" t="s">
        <v>60</v>
      </c>
      <c r="C38" s="167">
        <f>C37</f>
        <v>0</v>
      </c>
      <c r="D38" s="168" t="s">
        <v>11</v>
      </c>
      <c r="E38" s="169">
        <v>35</v>
      </c>
      <c r="F38" s="170">
        <f>SUM(E38*C38)</f>
        <v>0</v>
      </c>
    </row>
    <row r="39" spans="1:6" ht="15" customHeight="1" x14ac:dyDescent="0.25">
      <c r="A39" s="177">
        <v>3.3</v>
      </c>
      <c r="B39" s="62" t="s">
        <v>61</v>
      </c>
      <c r="E39" s="169"/>
      <c r="F39" s="170"/>
    </row>
    <row r="40" spans="1:6" ht="15" customHeight="1" x14ac:dyDescent="0.2">
      <c r="A40" s="178" t="s">
        <v>62</v>
      </c>
      <c r="B40" s="61" t="s">
        <v>63</v>
      </c>
      <c r="C40" s="167">
        <v>0</v>
      </c>
      <c r="D40" s="168" t="s">
        <v>11</v>
      </c>
      <c r="E40" s="169">
        <f>ROUNDUP(E37*125/150,0)</f>
        <v>59</v>
      </c>
      <c r="F40" s="170">
        <f t="shared" ref="F40:F41" si="5">SUM(E40*C40)</f>
        <v>0</v>
      </c>
    </row>
    <row r="41" spans="1:6" ht="15" customHeight="1" x14ac:dyDescent="0.2">
      <c r="A41" s="178" t="s">
        <v>64</v>
      </c>
      <c r="B41" s="61" t="s">
        <v>65</v>
      </c>
      <c r="C41" s="167">
        <f>C40</f>
        <v>0</v>
      </c>
      <c r="D41" s="168" t="s">
        <v>11</v>
      </c>
      <c r="E41" s="169">
        <f>ROUNDUP(E38*0.8,0)</f>
        <v>28</v>
      </c>
      <c r="F41" s="170">
        <f t="shared" si="5"/>
        <v>0</v>
      </c>
    </row>
    <row r="42" spans="1:6" ht="15" customHeight="1" x14ac:dyDescent="0.25">
      <c r="A42" s="177">
        <v>3.4</v>
      </c>
      <c r="B42" s="62" t="s">
        <v>66</v>
      </c>
      <c r="E42" s="169"/>
      <c r="F42" s="170"/>
    </row>
    <row r="43" spans="1:6" ht="15" customHeight="1" x14ac:dyDescent="0.2">
      <c r="A43" s="178" t="s">
        <v>67</v>
      </c>
      <c r="B43" s="61" t="s">
        <v>63</v>
      </c>
      <c r="C43" s="167">
        <f>(109+138+380)*2.5</f>
        <v>1567.5</v>
      </c>
      <c r="D43" s="168" t="s">
        <v>11</v>
      </c>
      <c r="E43" s="169">
        <f>E40</f>
        <v>59</v>
      </c>
      <c r="F43" s="170">
        <f t="shared" ref="F43:F45" si="6">SUM(E43*C43)</f>
        <v>92482.5</v>
      </c>
    </row>
    <row r="44" spans="1:6" ht="14.25" x14ac:dyDescent="0.2">
      <c r="A44" s="178" t="s">
        <v>68</v>
      </c>
      <c r="B44" s="61" t="s">
        <v>65</v>
      </c>
      <c r="C44" s="167">
        <f>C43</f>
        <v>1567.5</v>
      </c>
      <c r="D44" s="168" t="s">
        <v>11</v>
      </c>
      <c r="E44" s="169">
        <f>ROUNDUP(E38*0.8,0)</f>
        <v>28</v>
      </c>
      <c r="F44" s="170">
        <f t="shared" si="6"/>
        <v>43890</v>
      </c>
    </row>
    <row r="45" spans="1:6" ht="15" customHeight="1" x14ac:dyDescent="0.2">
      <c r="A45" s="177">
        <v>3.5</v>
      </c>
      <c r="B45" s="61" t="s">
        <v>69</v>
      </c>
      <c r="C45" s="167">
        <v>0</v>
      </c>
      <c r="D45" s="168" t="s">
        <v>14</v>
      </c>
      <c r="E45" s="169">
        <v>650</v>
      </c>
      <c r="F45" s="170">
        <f t="shared" si="6"/>
        <v>0</v>
      </c>
    </row>
    <row r="46" spans="1:6" ht="15" customHeight="1" x14ac:dyDescent="0.25">
      <c r="A46" s="165">
        <v>4</v>
      </c>
      <c r="B46" s="70" t="s">
        <v>70</v>
      </c>
      <c r="C46" s="71"/>
      <c r="D46" s="72"/>
      <c r="E46" s="79"/>
      <c r="F46" s="74">
        <f>SUM(F47:F60)</f>
        <v>141300</v>
      </c>
    </row>
    <row r="47" spans="1:6" ht="15" customHeight="1" x14ac:dyDescent="0.2">
      <c r="A47" s="177">
        <v>4.0999999999999996</v>
      </c>
      <c r="B47" s="61" t="s">
        <v>71</v>
      </c>
      <c r="C47" s="15">
        <v>6</v>
      </c>
      <c r="D47" s="14" t="s">
        <v>14</v>
      </c>
      <c r="E47" s="53">
        <v>4900</v>
      </c>
      <c r="F47" s="16">
        <f t="shared" ref="F47:F63" si="7">E47*C47</f>
        <v>29400</v>
      </c>
    </row>
    <row r="48" spans="1:6" ht="15" customHeight="1" x14ac:dyDescent="0.2">
      <c r="A48" s="177">
        <v>4.2</v>
      </c>
      <c r="B48" s="61" t="s">
        <v>72</v>
      </c>
      <c r="C48" s="15">
        <v>0</v>
      </c>
      <c r="D48" s="14" t="s">
        <v>14</v>
      </c>
      <c r="E48" s="53">
        <v>1650</v>
      </c>
      <c r="F48" s="16">
        <f t="shared" si="7"/>
        <v>0</v>
      </c>
    </row>
    <row r="49" spans="1:6" ht="15" customHeight="1" x14ac:dyDescent="0.25">
      <c r="A49" s="177">
        <v>4.3</v>
      </c>
      <c r="B49" s="62" t="s">
        <v>73</v>
      </c>
      <c r="C49" s="15"/>
      <c r="D49" s="14"/>
      <c r="E49" s="53"/>
      <c r="F49" s="16"/>
    </row>
    <row r="50" spans="1:6" ht="15" customHeight="1" x14ac:dyDescent="0.2">
      <c r="A50" s="178" t="s">
        <v>74</v>
      </c>
      <c r="B50" s="61" t="s">
        <v>75</v>
      </c>
      <c r="C50" s="15">
        <v>0</v>
      </c>
      <c r="D50" s="14" t="s">
        <v>14</v>
      </c>
      <c r="E50" s="53">
        <v>4200</v>
      </c>
      <c r="F50" s="16">
        <f t="shared" si="7"/>
        <v>0</v>
      </c>
    </row>
    <row r="51" spans="1:6" ht="15" customHeight="1" x14ac:dyDescent="0.2">
      <c r="A51" s="178" t="s">
        <v>76</v>
      </c>
      <c r="B51" s="61" t="s">
        <v>77</v>
      </c>
      <c r="C51" s="15">
        <v>0</v>
      </c>
      <c r="D51" s="14" t="s">
        <v>14</v>
      </c>
      <c r="E51" s="53">
        <v>5300</v>
      </c>
      <c r="F51" s="16">
        <f t="shared" si="7"/>
        <v>0</v>
      </c>
    </row>
    <row r="52" spans="1:6" ht="15" customHeight="1" x14ac:dyDescent="0.25">
      <c r="A52" s="177">
        <v>4.4000000000000004</v>
      </c>
      <c r="B52" s="62" t="s">
        <v>78</v>
      </c>
      <c r="C52" s="15"/>
      <c r="D52" s="14"/>
      <c r="E52" s="53"/>
      <c r="F52" s="16"/>
    </row>
    <row r="53" spans="1:6" ht="15" customHeight="1" x14ac:dyDescent="0.2">
      <c r="A53" s="178" t="s">
        <v>79</v>
      </c>
      <c r="B53" s="61" t="s">
        <v>80</v>
      </c>
      <c r="C53" s="15">
        <f>36+180</f>
        <v>216</v>
      </c>
      <c r="D53" s="14" t="s">
        <v>51</v>
      </c>
      <c r="E53" s="53">
        <v>325</v>
      </c>
      <c r="F53" s="16">
        <f t="shared" si="7"/>
        <v>70200</v>
      </c>
    </row>
    <row r="54" spans="1:6" ht="15" customHeight="1" x14ac:dyDescent="0.2">
      <c r="A54" s="178" t="s">
        <v>81</v>
      </c>
      <c r="B54" s="61" t="s">
        <v>82</v>
      </c>
      <c r="C54" s="15">
        <v>50</v>
      </c>
      <c r="D54" s="14" t="s">
        <v>51</v>
      </c>
      <c r="E54" s="53">
        <v>480</v>
      </c>
      <c r="F54" s="16">
        <f t="shared" si="7"/>
        <v>24000</v>
      </c>
    </row>
    <row r="55" spans="1:6" ht="15" customHeight="1" x14ac:dyDescent="0.2">
      <c r="A55" s="178" t="s">
        <v>83</v>
      </c>
      <c r="B55" s="61" t="s">
        <v>84</v>
      </c>
      <c r="C55" s="15">
        <v>0</v>
      </c>
      <c r="D55" s="14" t="s">
        <v>51</v>
      </c>
      <c r="E55" s="53">
        <v>600</v>
      </c>
      <c r="F55" s="16">
        <f t="shared" si="7"/>
        <v>0</v>
      </c>
    </row>
    <row r="56" spans="1:6" ht="15" customHeight="1" x14ac:dyDescent="0.2">
      <c r="A56" s="178" t="s">
        <v>85</v>
      </c>
      <c r="B56" s="61" t="s">
        <v>86</v>
      </c>
      <c r="C56" s="15">
        <v>0</v>
      </c>
      <c r="D56" s="14" t="s">
        <v>51</v>
      </c>
      <c r="E56" s="53">
        <v>750</v>
      </c>
      <c r="F56" s="16">
        <f t="shared" si="7"/>
        <v>0</v>
      </c>
    </row>
    <row r="57" spans="1:6" ht="15" customHeight="1" x14ac:dyDescent="0.25">
      <c r="A57" s="177">
        <v>4.5</v>
      </c>
      <c r="B57" s="62" t="s">
        <v>87</v>
      </c>
      <c r="C57" s="15"/>
      <c r="D57" s="14"/>
      <c r="E57" s="53"/>
      <c r="F57" s="16"/>
    </row>
    <row r="58" spans="1:6" ht="15" customHeight="1" x14ac:dyDescent="0.2">
      <c r="A58" s="178" t="s">
        <v>88</v>
      </c>
      <c r="B58" s="61" t="s">
        <v>89</v>
      </c>
      <c r="C58" s="15">
        <v>0</v>
      </c>
      <c r="D58" s="14" t="s">
        <v>14</v>
      </c>
      <c r="E58" s="53">
        <v>3800</v>
      </c>
      <c r="F58" s="16">
        <f t="shared" ref="F58" si="8">E58*C58</f>
        <v>0</v>
      </c>
    </row>
    <row r="59" spans="1:6" ht="15" customHeight="1" x14ac:dyDescent="0.2">
      <c r="A59" s="177">
        <v>4.5999999999999996</v>
      </c>
      <c r="B59" s="127" t="s">
        <v>90</v>
      </c>
      <c r="C59" s="15">
        <f>C33+C35</f>
        <v>644</v>
      </c>
      <c r="D59" s="128" t="s">
        <v>51</v>
      </c>
      <c r="E59" s="53">
        <v>25</v>
      </c>
      <c r="F59" s="16">
        <f t="shared" si="7"/>
        <v>16100</v>
      </c>
    </row>
    <row r="60" spans="1:6" ht="15" customHeight="1" x14ac:dyDescent="0.2">
      <c r="A60" s="177">
        <v>4.7</v>
      </c>
      <c r="B60" s="127" t="s">
        <v>91</v>
      </c>
      <c r="C60" s="15">
        <v>4</v>
      </c>
      <c r="D60" s="128" t="s">
        <v>92</v>
      </c>
      <c r="E60" s="53">
        <v>400</v>
      </c>
      <c r="F60" s="16">
        <f t="shared" si="7"/>
        <v>1600</v>
      </c>
    </row>
    <row r="61" spans="1:6" ht="15" customHeight="1" x14ac:dyDescent="0.25">
      <c r="A61" s="165">
        <v>5</v>
      </c>
      <c r="B61" s="70" t="s">
        <v>93</v>
      </c>
      <c r="C61" s="71"/>
      <c r="D61" s="72"/>
      <c r="E61" s="73"/>
      <c r="F61" s="74">
        <f>SUM(F62:F63)</f>
        <v>0</v>
      </c>
    </row>
    <row r="62" spans="1:6" ht="15" customHeight="1" x14ac:dyDescent="0.2">
      <c r="A62" s="177">
        <v>5.0999999999999996</v>
      </c>
      <c r="B62" s="61" t="s">
        <v>94</v>
      </c>
      <c r="C62" s="167">
        <v>0</v>
      </c>
      <c r="D62" s="14" t="s">
        <v>14</v>
      </c>
      <c r="E62" s="53">
        <v>280000</v>
      </c>
      <c r="F62" s="16">
        <f t="shared" si="7"/>
        <v>0</v>
      </c>
    </row>
    <row r="63" spans="1:6" ht="15" customHeight="1" x14ac:dyDescent="0.2">
      <c r="A63" s="177">
        <v>5.2</v>
      </c>
      <c r="B63" s="61" t="s">
        <v>95</v>
      </c>
      <c r="C63" s="167">
        <v>0</v>
      </c>
      <c r="D63" s="14" t="s">
        <v>14</v>
      </c>
      <c r="E63" s="53"/>
      <c r="F63" s="16">
        <f t="shared" si="7"/>
        <v>0</v>
      </c>
    </row>
    <row r="64" spans="1:6" ht="15" customHeight="1" x14ac:dyDescent="0.25">
      <c r="A64" s="165">
        <v>6</v>
      </c>
      <c r="B64" s="70" t="s">
        <v>96</v>
      </c>
      <c r="C64" s="71"/>
      <c r="D64" s="72"/>
      <c r="E64" s="79"/>
      <c r="F64" s="74">
        <f>SUM(F65:F67)</f>
        <v>6894</v>
      </c>
    </row>
    <row r="65" spans="1:6" ht="15" customHeight="1" x14ac:dyDescent="0.2">
      <c r="A65" s="177">
        <v>6.1</v>
      </c>
      <c r="B65" s="61" t="s">
        <v>97</v>
      </c>
      <c r="C65" s="15">
        <v>28</v>
      </c>
      <c r="D65" s="14" t="s">
        <v>14</v>
      </c>
      <c r="E65" s="53">
        <v>50</v>
      </c>
      <c r="F65" s="16">
        <f t="shared" ref="F65:F71" si="9">E65*C65</f>
        <v>1400</v>
      </c>
    </row>
    <row r="66" spans="1:6" ht="15" customHeight="1" x14ac:dyDescent="0.2">
      <c r="A66" s="177">
        <v>6.2</v>
      </c>
      <c r="B66" s="61" t="s">
        <v>98</v>
      </c>
      <c r="C66" s="15">
        <v>0</v>
      </c>
      <c r="D66" s="14" t="s">
        <v>11</v>
      </c>
      <c r="E66" s="53">
        <v>60</v>
      </c>
      <c r="F66" s="16">
        <f t="shared" si="9"/>
        <v>0</v>
      </c>
    </row>
    <row r="67" spans="1:6" ht="15" customHeight="1" x14ac:dyDescent="0.2">
      <c r="A67" s="177">
        <v>6.3</v>
      </c>
      <c r="B67" s="61" t="s">
        <v>99</v>
      </c>
      <c r="C67" s="15">
        <f>328*6.7</f>
        <v>2197.6</v>
      </c>
      <c r="D67" s="14" t="s">
        <v>11</v>
      </c>
      <c r="E67" s="53">
        <v>2.5</v>
      </c>
      <c r="F67" s="16">
        <f t="shared" si="9"/>
        <v>5494</v>
      </c>
    </row>
    <row r="68" spans="1:6" ht="15" customHeight="1" x14ac:dyDescent="0.25">
      <c r="A68" s="165">
        <v>7</v>
      </c>
      <c r="B68" s="70" t="s">
        <v>100</v>
      </c>
      <c r="C68" s="71"/>
      <c r="D68" s="72"/>
      <c r="E68" s="73"/>
      <c r="F68" s="74">
        <f>SUM(F69:F72)</f>
        <v>58880</v>
      </c>
    </row>
    <row r="69" spans="1:6" ht="15" customHeight="1" x14ac:dyDescent="0.2">
      <c r="A69" s="177">
        <v>7.1</v>
      </c>
      <c r="B69" s="61" t="s">
        <v>101</v>
      </c>
      <c r="C69" s="15">
        <v>0</v>
      </c>
      <c r="D69" s="14" t="s">
        <v>14</v>
      </c>
      <c r="E69" s="53">
        <v>100000</v>
      </c>
      <c r="F69" s="16">
        <f t="shared" si="9"/>
        <v>0</v>
      </c>
    </row>
    <row r="70" spans="1:6" ht="15" customHeight="1" x14ac:dyDescent="0.2">
      <c r="A70" s="177">
        <v>7.2</v>
      </c>
      <c r="B70" s="61" t="s">
        <v>102</v>
      </c>
      <c r="C70" s="15">
        <v>0</v>
      </c>
      <c r="D70" s="14" t="s">
        <v>14</v>
      </c>
      <c r="E70" s="53">
        <v>80000</v>
      </c>
      <c r="F70" s="16">
        <f t="shared" si="9"/>
        <v>0</v>
      </c>
    </row>
    <row r="71" spans="1:6" ht="15" customHeight="1" x14ac:dyDescent="0.2">
      <c r="A71" s="177">
        <v>7.3</v>
      </c>
      <c r="B71" s="61" t="s">
        <v>103</v>
      </c>
      <c r="C71" s="15">
        <v>320</v>
      </c>
      <c r="D71" s="14" t="s">
        <v>51</v>
      </c>
      <c r="E71" s="53">
        <v>160</v>
      </c>
      <c r="F71" s="16">
        <f t="shared" si="9"/>
        <v>51200</v>
      </c>
    </row>
    <row r="72" spans="1:6" ht="15" customHeight="1" x14ac:dyDescent="0.2">
      <c r="A72" s="177">
        <v>7.4</v>
      </c>
      <c r="B72" s="61" t="s">
        <v>104</v>
      </c>
      <c r="C72" s="15">
        <v>15</v>
      </c>
      <c r="D72" s="14" t="s">
        <v>105</v>
      </c>
      <c r="E72" s="53">
        <f>SUM(F69:F71)</f>
        <v>51200</v>
      </c>
      <c r="F72" s="16">
        <f>E72*C72/100</f>
        <v>7680</v>
      </c>
    </row>
    <row r="73" spans="1:6" ht="15" customHeight="1" x14ac:dyDescent="0.25">
      <c r="A73" s="165">
        <v>8</v>
      </c>
      <c r="B73" s="70" t="s">
        <v>106</v>
      </c>
      <c r="C73" s="71"/>
      <c r="D73" s="72"/>
      <c r="E73" s="73"/>
      <c r="F73" s="74">
        <f>SUM(F74:F79)</f>
        <v>22000.925499999998</v>
      </c>
    </row>
    <row r="74" spans="1:6" ht="15" customHeight="1" x14ac:dyDescent="0.2">
      <c r="A74" s="177">
        <v>8.1</v>
      </c>
      <c r="B74" s="61" t="s">
        <v>107</v>
      </c>
      <c r="C74" s="15">
        <v>1</v>
      </c>
      <c r="D74" s="14" t="s">
        <v>14</v>
      </c>
      <c r="E74" s="53">
        <v>3000</v>
      </c>
      <c r="F74" s="16">
        <f t="shared" ref="F74:F76" si="10">C74*E74</f>
        <v>3000</v>
      </c>
    </row>
    <row r="75" spans="1:6" ht="15" customHeight="1" x14ac:dyDescent="0.2">
      <c r="A75" s="177">
        <v>8.1999999999999993</v>
      </c>
      <c r="B75" s="61" t="s">
        <v>108</v>
      </c>
      <c r="C75" s="15">
        <v>5</v>
      </c>
      <c r="D75" s="14" t="s">
        <v>14</v>
      </c>
      <c r="E75" s="53">
        <v>280</v>
      </c>
      <c r="F75" s="16">
        <f t="shared" si="10"/>
        <v>1400</v>
      </c>
    </row>
    <row r="76" spans="1:6" ht="15" customHeight="1" x14ac:dyDescent="0.2">
      <c r="A76" s="177">
        <v>8.3000000000000007</v>
      </c>
      <c r="B76" s="61" t="s">
        <v>109</v>
      </c>
      <c r="C76" s="15">
        <v>1</v>
      </c>
      <c r="D76" s="14" t="s">
        <v>14</v>
      </c>
      <c r="E76" s="53">
        <f>0.015*(F46+F31+F12)</f>
        <v>10678.825499999999</v>
      </c>
      <c r="F76" s="16">
        <f t="shared" si="10"/>
        <v>10678.825499999999</v>
      </c>
    </row>
    <row r="77" spans="1:6" ht="15" customHeight="1" x14ac:dyDescent="0.2">
      <c r="A77" s="177">
        <v>8.4</v>
      </c>
      <c r="B77" s="61" t="s">
        <v>110</v>
      </c>
      <c r="C77" s="15">
        <v>1</v>
      </c>
      <c r="D77" s="14" t="s">
        <v>14</v>
      </c>
      <c r="E77" s="53">
        <f>0.15*F64</f>
        <v>1034.0999999999999</v>
      </c>
      <c r="F77" s="16">
        <f>C77*E77</f>
        <v>1034.0999999999999</v>
      </c>
    </row>
    <row r="78" spans="1:6" ht="15" customHeight="1" x14ac:dyDescent="0.2">
      <c r="A78" s="177">
        <v>8.5</v>
      </c>
      <c r="B78" s="61" t="s">
        <v>111</v>
      </c>
      <c r="C78" s="15">
        <v>10</v>
      </c>
      <c r="D78" s="14" t="s">
        <v>112</v>
      </c>
      <c r="E78" s="53">
        <f>F62*0.015</f>
        <v>0</v>
      </c>
      <c r="F78" s="16">
        <f>C78*E78</f>
        <v>0</v>
      </c>
    </row>
    <row r="79" spans="1:6" ht="15" customHeight="1" x14ac:dyDescent="0.2">
      <c r="A79" s="177">
        <v>8.6</v>
      </c>
      <c r="B79" s="61" t="s">
        <v>113</v>
      </c>
      <c r="C79" s="15">
        <v>1</v>
      </c>
      <c r="D79" s="14" t="s">
        <v>14</v>
      </c>
      <c r="E79" s="53">
        <f>0.1*F68</f>
        <v>5888</v>
      </c>
      <c r="F79" s="16">
        <f>C79*E79</f>
        <v>5888</v>
      </c>
    </row>
    <row r="80" spans="1:6" ht="15" customHeight="1" x14ac:dyDescent="0.25">
      <c r="A80" s="165">
        <v>9</v>
      </c>
      <c r="B80" s="70" t="s">
        <v>114</v>
      </c>
      <c r="C80" s="71"/>
      <c r="D80" s="72"/>
      <c r="E80" s="73"/>
      <c r="F80" s="74">
        <f>SUM(F81:F83)</f>
        <v>0</v>
      </c>
    </row>
    <row r="84" spans="1:6" ht="15" customHeight="1" x14ac:dyDescent="0.25">
      <c r="A84" s="92"/>
      <c r="B84" s="160" t="s">
        <v>115</v>
      </c>
      <c r="C84" s="75"/>
      <c r="D84" s="76"/>
      <c r="E84" s="83"/>
      <c r="F84" s="181">
        <f>SUM(F5,F12,F31,F46,F61,F64,F68,F73,F80)</f>
        <v>926211.375</v>
      </c>
    </row>
    <row r="85" spans="1:6" ht="15" customHeight="1" x14ac:dyDescent="0.25">
      <c r="A85" s="165">
        <v>10</v>
      </c>
      <c r="B85" s="70" t="s">
        <v>116</v>
      </c>
      <c r="C85" s="71"/>
      <c r="D85" s="72"/>
      <c r="E85" s="73"/>
      <c r="F85" s="74"/>
    </row>
    <row r="86" spans="1:6" ht="15" customHeight="1" x14ac:dyDescent="0.2">
      <c r="A86" s="177">
        <v>10.1</v>
      </c>
      <c r="B86" s="61" t="s">
        <v>117</v>
      </c>
      <c r="C86" s="166">
        <v>3.25</v>
      </c>
      <c r="D86" s="14" t="s">
        <v>105</v>
      </c>
      <c r="E86" s="175"/>
      <c r="F86" s="176">
        <f>C86%*F$84</f>
        <v>30101.869687500002</v>
      </c>
    </row>
    <row r="87" spans="1:6" ht="15" customHeight="1" x14ac:dyDescent="0.2">
      <c r="A87" s="177">
        <v>10.199999999999999</v>
      </c>
      <c r="B87" s="61" t="s">
        <v>118</v>
      </c>
      <c r="C87" s="166">
        <v>1</v>
      </c>
      <c r="D87" s="14" t="s">
        <v>105</v>
      </c>
      <c r="E87" s="175"/>
      <c r="F87" s="176">
        <f t="shared" ref="F87:F93" si="11">C87%*F$84</f>
        <v>9262.1137500000004</v>
      </c>
    </row>
    <row r="88" spans="1:6" ht="15" customHeight="1" x14ac:dyDescent="0.2">
      <c r="A88" s="177">
        <v>10.3</v>
      </c>
      <c r="B88" s="61" t="s">
        <v>119</v>
      </c>
      <c r="C88" s="166">
        <v>5</v>
      </c>
      <c r="D88" s="14" t="s">
        <v>105</v>
      </c>
      <c r="E88" s="175"/>
      <c r="F88" s="176">
        <f t="shared" si="11"/>
        <v>46310.568750000006</v>
      </c>
    </row>
    <row r="89" spans="1:6" ht="15" customHeight="1" x14ac:dyDescent="0.2">
      <c r="A89" s="177">
        <v>10.4</v>
      </c>
      <c r="B89" s="61" t="s">
        <v>120</v>
      </c>
      <c r="C89" s="166">
        <v>0.5</v>
      </c>
      <c r="D89" s="14" t="s">
        <v>105</v>
      </c>
      <c r="E89" s="175"/>
      <c r="F89" s="176">
        <f t="shared" si="11"/>
        <v>4631.0568750000002</v>
      </c>
    </row>
    <row r="90" spans="1:6" ht="15" customHeight="1" x14ac:dyDescent="0.2">
      <c r="A90" s="177">
        <v>10.5</v>
      </c>
      <c r="B90" s="61" t="s">
        <v>121</v>
      </c>
      <c r="C90" s="166">
        <v>5</v>
      </c>
      <c r="D90" s="14" t="s">
        <v>105</v>
      </c>
      <c r="E90" s="175"/>
      <c r="F90" s="176">
        <f t="shared" si="11"/>
        <v>46310.568750000006</v>
      </c>
    </row>
    <row r="91" spans="1:6" ht="15" customHeight="1" x14ac:dyDescent="0.2">
      <c r="A91" s="177">
        <v>10.6</v>
      </c>
      <c r="B91" s="61" t="s">
        <v>122</v>
      </c>
      <c r="C91" s="166">
        <v>9</v>
      </c>
      <c r="D91" s="14" t="s">
        <v>105</v>
      </c>
      <c r="E91" s="175"/>
      <c r="F91" s="176">
        <f t="shared" si="11"/>
        <v>83359.023749999993</v>
      </c>
    </row>
    <row r="92" spans="1:6" ht="15" customHeight="1" x14ac:dyDescent="0.2">
      <c r="A92" s="177">
        <v>10.7</v>
      </c>
      <c r="B92" s="61" t="s">
        <v>123</v>
      </c>
      <c r="C92" s="166">
        <v>2.5</v>
      </c>
      <c r="D92" s="14" t="s">
        <v>105</v>
      </c>
      <c r="E92" s="175"/>
      <c r="F92" s="176">
        <f t="shared" si="11"/>
        <v>23155.284375000003</v>
      </c>
    </row>
    <row r="93" spans="1:6" ht="15" customHeight="1" x14ac:dyDescent="0.2">
      <c r="A93" s="177">
        <v>10.8</v>
      </c>
      <c r="B93" s="61" t="s">
        <v>124</v>
      </c>
      <c r="C93" s="166">
        <v>15</v>
      </c>
      <c r="D93" s="14" t="s">
        <v>105</v>
      </c>
      <c r="E93" s="175"/>
      <c r="F93" s="176">
        <f t="shared" si="11"/>
        <v>138931.70624999999</v>
      </c>
    </row>
    <row r="94" spans="1:6" ht="15" customHeight="1" x14ac:dyDescent="0.25">
      <c r="A94" s="92"/>
      <c r="B94" s="160" t="s">
        <v>125</v>
      </c>
      <c r="C94" s="75"/>
      <c r="D94" s="76"/>
      <c r="E94" s="83"/>
      <c r="F94" s="181">
        <f>SUM(F84:F93)</f>
        <v>1308273.5671875</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sheetPr>
  <dimension ref="A1:J94"/>
  <sheetViews>
    <sheetView zoomScaleNormal="100" workbookViewId="0">
      <selection activeCell="L15" sqref="L15"/>
    </sheetView>
  </sheetViews>
  <sheetFormatPr defaultColWidth="9.140625" defaultRowHeight="15" customHeight="1" x14ac:dyDescent="0.2"/>
  <cols>
    <col min="1" max="1" width="12.7109375" style="162" customWidth="1"/>
    <col min="2" max="2" width="50.7109375" style="162" customWidth="1"/>
    <col min="3" max="4" width="12.7109375" style="162" customWidth="1"/>
    <col min="5" max="6" width="15.7109375" style="162" customWidth="1"/>
    <col min="7" max="9" width="9.140625" style="162"/>
    <col min="10" max="10" width="11.42578125" style="162" bestFit="1" customWidth="1"/>
    <col min="11" max="16384" width="9.140625" style="162"/>
  </cols>
  <sheetData>
    <row r="1" spans="1:10" ht="15" customHeight="1" x14ac:dyDescent="0.25">
      <c r="A1" s="1" t="s">
        <v>0</v>
      </c>
      <c r="F1" s="161">
        <v>43544</v>
      </c>
    </row>
    <row r="2" spans="1:10" ht="15" customHeight="1" x14ac:dyDescent="0.25">
      <c r="A2" s="1" t="s">
        <v>138</v>
      </c>
    </row>
    <row r="4" spans="1:10" ht="30" x14ac:dyDescent="0.2">
      <c r="A4" s="182" t="s">
        <v>2</v>
      </c>
      <c r="B4" s="182" t="s">
        <v>3</v>
      </c>
      <c r="C4" s="182" t="s">
        <v>4</v>
      </c>
      <c r="D4" s="182" t="s">
        <v>5</v>
      </c>
      <c r="E4" s="183" t="s">
        <v>6</v>
      </c>
      <c r="F4" s="183" t="s">
        <v>7</v>
      </c>
    </row>
    <row r="5" spans="1:10" ht="15" customHeight="1" x14ac:dyDescent="0.25">
      <c r="A5" s="165">
        <v>1</v>
      </c>
      <c r="B5" s="70" t="s">
        <v>8</v>
      </c>
      <c r="C5" s="71"/>
      <c r="D5" s="72"/>
      <c r="E5" s="79"/>
      <c r="F5" s="74">
        <f>SUM(F6:F11)</f>
        <v>162149.09139999998</v>
      </c>
      <c r="I5" s="185" t="s">
        <v>139</v>
      </c>
      <c r="J5" s="185"/>
    </row>
    <row r="6" spans="1:10" ht="15" customHeight="1" x14ac:dyDescent="0.2">
      <c r="A6" s="177">
        <v>1.1000000000000001</v>
      </c>
      <c r="B6" s="127" t="s">
        <v>9</v>
      </c>
      <c r="C6" s="167">
        <f>C7</f>
        <v>4623.76</v>
      </c>
      <c r="D6" s="173" t="s">
        <v>11</v>
      </c>
      <c r="E6" s="174">
        <v>5</v>
      </c>
      <c r="F6" s="170">
        <f t="shared" ref="F6:F11" si="0">C6*E6</f>
        <v>23118.800000000003</v>
      </c>
      <c r="I6" s="185"/>
      <c r="J6" s="186">
        <f>F94+'2602_2705'!F94</f>
        <v>3098710.1530437497</v>
      </c>
    </row>
    <row r="7" spans="1:10" ht="15" customHeight="1" x14ac:dyDescent="0.2">
      <c r="A7" s="177">
        <v>1.2</v>
      </c>
      <c r="B7" s="127" t="s">
        <v>12</v>
      </c>
      <c r="C7" s="167">
        <f>ROUNDUP(C33/2*5,0)+C43+C40+(C14+C20+C26)*0.2</f>
        <v>4623.76</v>
      </c>
      <c r="D7" s="173" t="s">
        <v>11</v>
      </c>
      <c r="E7" s="174">
        <v>7</v>
      </c>
      <c r="F7" s="170">
        <f t="shared" si="0"/>
        <v>32366.32</v>
      </c>
      <c r="I7" s="185"/>
      <c r="J7" s="185"/>
    </row>
    <row r="8" spans="1:10" ht="15" customHeight="1" x14ac:dyDescent="0.2">
      <c r="A8" s="177">
        <v>1.3</v>
      </c>
      <c r="B8" s="127" t="s">
        <v>13</v>
      </c>
      <c r="C8" s="167">
        <v>1</v>
      </c>
      <c r="D8" s="173" t="s">
        <v>14</v>
      </c>
      <c r="E8" s="174">
        <v>2000</v>
      </c>
      <c r="F8" s="170">
        <f t="shared" si="0"/>
        <v>2000</v>
      </c>
      <c r="I8" s="185"/>
      <c r="J8" s="185"/>
    </row>
    <row r="9" spans="1:10" ht="15" customHeight="1" x14ac:dyDescent="0.2">
      <c r="A9" s="177">
        <v>1.4</v>
      </c>
      <c r="B9" s="127" t="s">
        <v>15</v>
      </c>
      <c r="C9" s="167">
        <v>1</v>
      </c>
      <c r="D9" s="173" t="s">
        <v>14</v>
      </c>
      <c r="E9" s="174">
        <v>8000</v>
      </c>
      <c r="F9" s="170">
        <f t="shared" si="0"/>
        <v>8000</v>
      </c>
    </row>
    <row r="10" spans="1:10" ht="15" customHeight="1" x14ac:dyDescent="0.2">
      <c r="A10" s="177">
        <v>1.5</v>
      </c>
      <c r="B10" s="127" t="s">
        <v>16</v>
      </c>
      <c r="C10" s="167">
        <f>(C16*0.4+C37*0.25+C43*0.175+C17*0.3)*0.6</f>
        <v>1457.2457999999997</v>
      </c>
      <c r="D10" s="173" t="s">
        <v>17</v>
      </c>
      <c r="E10" s="174">
        <v>45</v>
      </c>
      <c r="F10" s="170">
        <f t="shared" si="0"/>
        <v>65576.060999999987</v>
      </c>
    </row>
    <row r="11" spans="1:10" ht="15" customHeight="1" x14ac:dyDescent="0.2">
      <c r="A11" s="177">
        <v>1.6</v>
      </c>
      <c r="B11" s="127" t="s">
        <v>18</v>
      </c>
      <c r="C11" s="167">
        <f>(C16*0.4+C37*0.25+C43*0.175+C17*0.3)*0.4</f>
        <v>971.49719999999979</v>
      </c>
      <c r="D11" s="173" t="s">
        <v>17</v>
      </c>
      <c r="E11" s="174">
        <v>32</v>
      </c>
      <c r="F11" s="170">
        <f t="shared" si="0"/>
        <v>31087.910399999993</v>
      </c>
    </row>
    <row r="12" spans="1:10" ht="15" customHeight="1" x14ac:dyDescent="0.25">
      <c r="A12" s="165">
        <v>2</v>
      </c>
      <c r="B12" s="70" t="s">
        <v>19</v>
      </c>
      <c r="C12" s="71"/>
      <c r="D12" s="72"/>
      <c r="E12" s="79"/>
      <c r="F12" s="74">
        <f>SUM(F14:F30)</f>
        <v>546470.54</v>
      </c>
    </row>
    <row r="13" spans="1:10" ht="15" customHeight="1" x14ac:dyDescent="0.25">
      <c r="A13" s="163">
        <v>2.1</v>
      </c>
      <c r="B13" s="62" t="s">
        <v>20</v>
      </c>
      <c r="C13" s="167"/>
      <c r="D13" s="168"/>
      <c r="E13" s="172"/>
      <c r="F13" s="170"/>
    </row>
    <row r="14" spans="1:10" ht="15" customHeight="1" x14ac:dyDescent="0.2">
      <c r="A14" s="164" t="s">
        <v>21</v>
      </c>
      <c r="B14" s="127" t="s">
        <v>22</v>
      </c>
      <c r="C14" s="167">
        <f>(45+298)*11.6</f>
        <v>3978.7999999999997</v>
      </c>
      <c r="D14" s="173" t="s">
        <v>11</v>
      </c>
      <c r="E14" s="174">
        <v>27</v>
      </c>
      <c r="F14" s="170">
        <f t="shared" ref="F14:F18" si="1">C14*E14</f>
        <v>107427.59999999999</v>
      </c>
    </row>
    <row r="15" spans="1:10" ht="15" customHeight="1" x14ac:dyDescent="0.2">
      <c r="A15" s="164" t="s">
        <v>23</v>
      </c>
      <c r="B15" s="127" t="s">
        <v>24</v>
      </c>
      <c r="C15" s="167">
        <f>C14</f>
        <v>3978.7999999999997</v>
      </c>
      <c r="D15" s="173" t="s">
        <v>11</v>
      </c>
      <c r="E15" s="174">
        <f>ROUNDUP(32*100/75,0)</f>
        <v>43</v>
      </c>
      <c r="F15" s="170">
        <f t="shared" si="1"/>
        <v>171088.4</v>
      </c>
    </row>
    <row r="16" spans="1:10" ht="15" customHeight="1" x14ac:dyDescent="0.2">
      <c r="A16" s="164" t="s">
        <v>25</v>
      </c>
      <c r="B16" s="127" t="s">
        <v>26</v>
      </c>
      <c r="C16" s="167">
        <f>C15+(C35*0.45)+(C33*0.75)</f>
        <v>4557.0499999999993</v>
      </c>
      <c r="D16" s="173" t="s">
        <v>11</v>
      </c>
      <c r="E16" s="174">
        <f>ROUNDUP(18*260/110,0)</f>
        <v>43</v>
      </c>
      <c r="F16" s="170">
        <f t="shared" si="1"/>
        <v>195953.14999999997</v>
      </c>
    </row>
    <row r="17" spans="1:6" ht="15" customHeight="1" x14ac:dyDescent="0.2">
      <c r="A17" s="164" t="s">
        <v>27</v>
      </c>
      <c r="B17" s="127" t="s">
        <v>28</v>
      </c>
      <c r="C17" s="167">
        <f>C16*0.2</f>
        <v>911.40999999999985</v>
      </c>
      <c r="D17" s="173" t="s">
        <v>11</v>
      </c>
      <c r="E17" s="174">
        <v>24</v>
      </c>
      <c r="F17" s="170">
        <f t="shared" si="1"/>
        <v>21873.839999999997</v>
      </c>
    </row>
    <row r="18" spans="1:6" ht="15" customHeight="1" x14ac:dyDescent="0.2">
      <c r="A18" s="164" t="s">
        <v>29</v>
      </c>
      <c r="B18" s="127" t="s">
        <v>30</v>
      </c>
      <c r="C18" s="167">
        <f>C16*0.1</f>
        <v>455.70499999999993</v>
      </c>
      <c r="D18" s="173" t="s">
        <v>11</v>
      </c>
      <c r="E18" s="174">
        <v>110</v>
      </c>
      <c r="F18" s="170">
        <f t="shared" si="1"/>
        <v>50127.549999999988</v>
      </c>
    </row>
    <row r="19" spans="1:6" ht="15" customHeight="1" x14ac:dyDescent="0.25">
      <c r="A19" s="163">
        <v>2.2000000000000002</v>
      </c>
      <c r="B19" s="62" t="s">
        <v>31</v>
      </c>
      <c r="C19" s="167"/>
      <c r="D19" s="168"/>
      <c r="E19" s="172"/>
      <c r="F19" s="170"/>
    </row>
    <row r="20" spans="1:6" ht="15" customHeight="1" x14ac:dyDescent="0.2">
      <c r="A20" s="164" t="s">
        <v>32</v>
      </c>
      <c r="B20" s="127" t="s">
        <v>22</v>
      </c>
      <c r="C20" s="167">
        <v>0</v>
      </c>
      <c r="D20" s="173" t="s">
        <v>11</v>
      </c>
      <c r="E20" s="174">
        <v>27</v>
      </c>
      <c r="F20" s="170">
        <f t="shared" ref="F20:F24" si="2">C20*E20</f>
        <v>0</v>
      </c>
    </row>
    <row r="21" spans="1:6" ht="15" customHeight="1" x14ac:dyDescent="0.2">
      <c r="A21" s="164" t="s">
        <v>33</v>
      </c>
      <c r="B21" s="127" t="s">
        <v>34</v>
      </c>
      <c r="C21" s="167">
        <f>C20</f>
        <v>0</v>
      </c>
      <c r="D21" s="173" t="s">
        <v>11</v>
      </c>
      <c r="E21" s="174">
        <f>ROUNDUP(32*150/75,0)</f>
        <v>64</v>
      </c>
      <c r="F21" s="170">
        <f t="shared" si="2"/>
        <v>0</v>
      </c>
    </row>
    <row r="22" spans="1:6" ht="15" customHeight="1" x14ac:dyDescent="0.2">
      <c r="A22" s="164" t="s">
        <v>35</v>
      </c>
      <c r="B22" s="127" t="s">
        <v>36</v>
      </c>
      <c r="C22" s="167">
        <v>0</v>
      </c>
      <c r="D22" s="173" t="s">
        <v>11</v>
      </c>
      <c r="E22" s="174">
        <f>ROUNDUP(18*300/110,0)</f>
        <v>50</v>
      </c>
      <c r="F22" s="170">
        <f t="shared" si="2"/>
        <v>0</v>
      </c>
    </row>
    <row r="23" spans="1:6" ht="15" customHeight="1" x14ac:dyDescent="0.2">
      <c r="A23" s="164" t="s">
        <v>37</v>
      </c>
      <c r="B23" s="127" t="s">
        <v>28</v>
      </c>
      <c r="C23" s="167">
        <f>C22*0.2</f>
        <v>0</v>
      </c>
      <c r="D23" s="173" t="s">
        <v>11</v>
      </c>
      <c r="E23" s="174">
        <v>24</v>
      </c>
      <c r="F23" s="170">
        <f t="shared" si="2"/>
        <v>0</v>
      </c>
    </row>
    <row r="24" spans="1:6" ht="15" customHeight="1" x14ac:dyDescent="0.2">
      <c r="A24" s="164" t="s">
        <v>38</v>
      </c>
      <c r="B24" s="127" t="s">
        <v>30</v>
      </c>
      <c r="C24" s="167">
        <f>C22*0.1</f>
        <v>0</v>
      </c>
      <c r="D24" s="173" t="s">
        <v>11</v>
      </c>
      <c r="E24" s="174">
        <v>110</v>
      </c>
      <c r="F24" s="170">
        <f t="shared" si="2"/>
        <v>0</v>
      </c>
    </row>
    <row r="25" spans="1:6" ht="15" customHeight="1" x14ac:dyDescent="0.25">
      <c r="A25" s="163">
        <v>2.2999999999999998</v>
      </c>
      <c r="B25" s="62" t="s">
        <v>39</v>
      </c>
      <c r="C25" s="167"/>
      <c r="D25" s="179"/>
      <c r="E25" s="179"/>
      <c r="F25" s="180"/>
    </row>
    <row r="26" spans="1:6" ht="15" customHeight="1" x14ac:dyDescent="0.2">
      <c r="A26" s="164" t="s">
        <v>40</v>
      </c>
      <c r="B26" s="127" t="s">
        <v>41</v>
      </c>
      <c r="C26" s="167">
        <v>0</v>
      </c>
      <c r="D26" s="173" t="s">
        <v>11</v>
      </c>
      <c r="E26" s="174">
        <f>ROUNDUP(E14*0.85,0)</f>
        <v>23</v>
      </c>
      <c r="F26" s="170">
        <f t="shared" ref="F26:F30" si="3">C26*E26</f>
        <v>0</v>
      </c>
    </row>
    <row r="27" spans="1:6" ht="15" customHeight="1" x14ac:dyDescent="0.2">
      <c r="A27" s="164" t="s">
        <v>42</v>
      </c>
      <c r="B27" s="127" t="s">
        <v>24</v>
      </c>
      <c r="C27" s="167">
        <f>C26</f>
        <v>0</v>
      </c>
      <c r="D27" s="173" t="s">
        <v>11</v>
      </c>
      <c r="E27" s="174">
        <f>E15</f>
        <v>43</v>
      </c>
      <c r="F27" s="170">
        <f t="shared" si="3"/>
        <v>0</v>
      </c>
    </row>
    <row r="28" spans="1:6" ht="15" customHeight="1" x14ac:dyDescent="0.2">
      <c r="A28" s="164" t="s">
        <v>43</v>
      </c>
      <c r="B28" s="127" t="s">
        <v>44</v>
      </c>
      <c r="C28" s="167">
        <v>0</v>
      </c>
      <c r="D28" s="173" t="s">
        <v>11</v>
      </c>
      <c r="E28" s="174">
        <f>E16</f>
        <v>43</v>
      </c>
      <c r="F28" s="170">
        <f t="shared" si="3"/>
        <v>0</v>
      </c>
    </row>
    <row r="29" spans="1:6" ht="15" customHeight="1" x14ac:dyDescent="0.2">
      <c r="A29" s="164" t="s">
        <v>45</v>
      </c>
      <c r="B29" s="127" t="s">
        <v>28</v>
      </c>
      <c r="C29" s="167">
        <f>C28*0.2</f>
        <v>0</v>
      </c>
      <c r="D29" s="173" t="s">
        <v>11</v>
      </c>
      <c r="E29" s="174">
        <f>E17</f>
        <v>24</v>
      </c>
      <c r="F29" s="170">
        <f t="shared" si="3"/>
        <v>0</v>
      </c>
    </row>
    <row r="30" spans="1:6" ht="15" customHeight="1" x14ac:dyDescent="0.2">
      <c r="A30" s="164" t="s">
        <v>46</v>
      </c>
      <c r="B30" s="127" t="s">
        <v>30</v>
      </c>
      <c r="C30" s="167">
        <f>C28*0.1</f>
        <v>0</v>
      </c>
      <c r="D30" s="173" t="s">
        <v>11</v>
      </c>
      <c r="E30" s="174">
        <f>E18</f>
        <v>110</v>
      </c>
      <c r="F30" s="170">
        <f t="shared" si="3"/>
        <v>0</v>
      </c>
    </row>
    <row r="31" spans="1:6" x14ac:dyDescent="0.25">
      <c r="A31" s="165">
        <v>3</v>
      </c>
      <c r="B31" s="70" t="s">
        <v>47</v>
      </c>
      <c r="C31" s="71"/>
      <c r="D31" s="72"/>
      <c r="E31" s="79"/>
      <c r="F31" s="74">
        <f>SUM(F33:F45)</f>
        <v>214644</v>
      </c>
    </row>
    <row r="32" spans="1:6" ht="15" customHeight="1" x14ac:dyDescent="0.25">
      <c r="A32" s="177">
        <v>3.1</v>
      </c>
      <c r="B32" s="62" t="s">
        <v>48</v>
      </c>
      <c r="C32" s="15"/>
      <c r="D32" s="14"/>
      <c r="E32" s="53"/>
      <c r="F32" s="16"/>
    </row>
    <row r="33" spans="1:6" ht="15" customHeight="1" x14ac:dyDescent="0.2">
      <c r="A33" s="178" t="s">
        <v>49</v>
      </c>
      <c r="B33" s="61" t="s">
        <v>50</v>
      </c>
      <c r="C33" s="167">
        <f>12+103+112+380+90+74</f>
        <v>771</v>
      </c>
      <c r="D33" s="168" t="s">
        <v>51</v>
      </c>
      <c r="E33" s="169">
        <v>64</v>
      </c>
      <c r="F33" s="170">
        <f t="shared" ref="F33:F35" si="4">SUM(E33*C33)</f>
        <v>49344</v>
      </c>
    </row>
    <row r="34" spans="1:6" ht="15" customHeight="1" x14ac:dyDescent="0.2">
      <c r="A34" s="178" t="s">
        <v>52</v>
      </c>
      <c r="B34" s="61" t="s">
        <v>53</v>
      </c>
      <c r="C34" s="167">
        <v>0</v>
      </c>
      <c r="D34" s="168" t="s">
        <v>51</v>
      </c>
      <c r="E34" s="169">
        <v>61</v>
      </c>
      <c r="F34" s="170">
        <f t="shared" si="4"/>
        <v>0</v>
      </c>
    </row>
    <row r="35" spans="1:6" ht="15" customHeight="1" x14ac:dyDescent="0.2">
      <c r="A35" s="178" t="s">
        <v>54</v>
      </c>
      <c r="B35" s="61" t="s">
        <v>55</v>
      </c>
      <c r="C35" s="167">
        <v>0</v>
      </c>
      <c r="D35" s="168" t="s">
        <v>51</v>
      </c>
      <c r="E35" s="169">
        <v>52</v>
      </c>
      <c r="F35" s="170">
        <f t="shared" si="4"/>
        <v>0</v>
      </c>
    </row>
    <row r="36" spans="1:6" x14ac:dyDescent="0.25">
      <c r="A36" s="177">
        <v>3.2</v>
      </c>
      <c r="B36" s="62" t="s">
        <v>56</v>
      </c>
      <c r="C36" s="171"/>
      <c r="D36" s="171"/>
      <c r="E36" s="171"/>
      <c r="F36" s="171"/>
    </row>
    <row r="37" spans="1:6" ht="14.25" x14ac:dyDescent="0.2">
      <c r="A37" s="178" t="s">
        <v>57</v>
      </c>
      <c r="B37" s="61" t="s">
        <v>58</v>
      </c>
      <c r="C37" s="167">
        <v>0</v>
      </c>
      <c r="D37" s="168" t="s">
        <v>11</v>
      </c>
      <c r="E37" s="169">
        <v>70</v>
      </c>
      <c r="F37" s="170">
        <f>SUM(E37*C37)</f>
        <v>0</v>
      </c>
    </row>
    <row r="38" spans="1:6" ht="15" customHeight="1" x14ac:dyDescent="0.2">
      <c r="A38" s="178" t="s">
        <v>59</v>
      </c>
      <c r="B38" s="61" t="s">
        <v>60</v>
      </c>
      <c r="C38" s="167">
        <f>C37</f>
        <v>0</v>
      </c>
      <c r="D38" s="168" t="s">
        <v>11</v>
      </c>
      <c r="E38" s="169">
        <v>35</v>
      </c>
      <c r="F38" s="170">
        <f>SUM(E38*C38)</f>
        <v>0</v>
      </c>
    </row>
    <row r="39" spans="1:6" ht="15" customHeight="1" x14ac:dyDescent="0.25">
      <c r="A39" s="177">
        <v>3.3</v>
      </c>
      <c r="B39" s="62" t="s">
        <v>61</v>
      </c>
      <c r="E39" s="169"/>
      <c r="F39" s="170"/>
    </row>
    <row r="40" spans="1:6" ht="15" customHeight="1" x14ac:dyDescent="0.2">
      <c r="A40" s="178" t="s">
        <v>62</v>
      </c>
      <c r="B40" s="61" t="s">
        <v>63</v>
      </c>
      <c r="C40" s="167">
        <v>0</v>
      </c>
      <c r="D40" s="168" t="s">
        <v>11</v>
      </c>
      <c r="E40" s="169">
        <f>ROUNDUP(E37*125/150,0)</f>
        <v>59</v>
      </c>
      <c r="F40" s="170">
        <f t="shared" ref="F40:F41" si="5">SUM(E40*C40)</f>
        <v>0</v>
      </c>
    </row>
    <row r="41" spans="1:6" ht="15" customHeight="1" x14ac:dyDescent="0.2">
      <c r="A41" s="178" t="s">
        <v>64</v>
      </c>
      <c r="B41" s="61" t="s">
        <v>65</v>
      </c>
      <c r="C41" s="167">
        <f>C40</f>
        <v>0</v>
      </c>
      <c r="D41" s="168" t="s">
        <v>11</v>
      </c>
      <c r="E41" s="169">
        <f>ROUNDUP(E38*0.8,0)</f>
        <v>28</v>
      </c>
      <c r="F41" s="170">
        <f t="shared" si="5"/>
        <v>0</v>
      </c>
    </row>
    <row r="42" spans="1:6" ht="15" customHeight="1" x14ac:dyDescent="0.25">
      <c r="A42" s="177">
        <v>3.4</v>
      </c>
      <c r="B42" s="62" t="s">
        <v>66</v>
      </c>
      <c r="E42" s="169"/>
      <c r="F42" s="170"/>
    </row>
    <row r="43" spans="1:6" ht="15" customHeight="1" x14ac:dyDescent="0.2">
      <c r="A43" s="178" t="s">
        <v>67</v>
      </c>
      <c r="B43" s="61" t="s">
        <v>63</v>
      </c>
      <c r="C43" s="167">
        <f>(108+108+380+90+74)*2.5</f>
        <v>1900</v>
      </c>
      <c r="D43" s="168" t="s">
        <v>11</v>
      </c>
      <c r="E43" s="169">
        <f>E40</f>
        <v>59</v>
      </c>
      <c r="F43" s="170">
        <f t="shared" ref="F43:F45" si="6">SUM(E43*C43)</f>
        <v>112100</v>
      </c>
    </row>
    <row r="44" spans="1:6" ht="14.25" x14ac:dyDescent="0.2">
      <c r="A44" s="178" t="s">
        <v>68</v>
      </c>
      <c r="B44" s="61" t="s">
        <v>65</v>
      </c>
      <c r="C44" s="167">
        <f>C43</f>
        <v>1900</v>
      </c>
      <c r="D44" s="168" t="s">
        <v>11</v>
      </c>
      <c r="E44" s="169">
        <f>ROUNDUP(E38*0.8,0)</f>
        <v>28</v>
      </c>
      <c r="F44" s="170">
        <f t="shared" si="6"/>
        <v>53200</v>
      </c>
    </row>
    <row r="45" spans="1:6" ht="15" customHeight="1" x14ac:dyDescent="0.2">
      <c r="A45" s="177">
        <v>3.5</v>
      </c>
      <c r="B45" s="61" t="s">
        <v>69</v>
      </c>
      <c r="C45" s="167">
        <v>0</v>
      </c>
      <c r="D45" s="168" t="s">
        <v>14</v>
      </c>
      <c r="E45" s="169">
        <v>650</v>
      </c>
      <c r="F45" s="170">
        <f t="shared" si="6"/>
        <v>0</v>
      </c>
    </row>
    <row r="46" spans="1:6" ht="15" customHeight="1" x14ac:dyDescent="0.25">
      <c r="A46" s="165">
        <v>4</v>
      </c>
      <c r="B46" s="70" t="s">
        <v>70</v>
      </c>
      <c r="C46" s="71"/>
      <c r="D46" s="72"/>
      <c r="E46" s="79"/>
      <c r="F46" s="74">
        <f>SUM(F47:F60)</f>
        <v>236575</v>
      </c>
    </row>
    <row r="47" spans="1:6" ht="15" customHeight="1" x14ac:dyDescent="0.2">
      <c r="A47" s="177">
        <v>4.0999999999999996</v>
      </c>
      <c r="B47" s="61" t="s">
        <v>71</v>
      </c>
      <c r="C47" s="15">
        <v>10</v>
      </c>
      <c r="D47" s="14" t="s">
        <v>14</v>
      </c>
      <c r="E47" s="53">
        <v>4900</v>
      </c>
      <c r="F47" s="16">
        <f t="shared" ref="F47:F63" si="7">E47*C47</f>
        <v>49000</v>
      </c>
    </row>
    <row r="48" spans="1:6" ht="15" customHeight="1" x14ac:dyDescent="0.2">
      <c r="A48" s="177">
        <v>4.2</v>
      </c>
      <c r="B48" s="61" t="s">
        <v>72</v>
      </c>
      <c r="C48" s="15">
        <v>1</v>
      </c>
      <c r="D48" s="14" t="s">
        <v>14</v>
      </c>
      <c r="E48" s="53">
        <v>1650</v>
      </c>
      <c r="F48" s="16">
        <f t="shared" si="7"/>
        <v>1650</v>
      </c>
    </row>
    <row r="49" spans="1:6" ht="15" customHeight="1" x14ac:dyDescent="0.25">
      <c r="A49" s="177">
        <v>4.3</v>
      </c>
      <c r="B49" s="62" t="s">
        <v>73</v>
      </c>
      <c r="C49" s="15"/>
      <c r="D49" s="14"/>
      <c r="E49" s="53"/>
      <c r="F49" s="16"/>
    </row>
    <row r="50" spans="1:6" ht="15" customHeight="1" x14ac:dyDescent="0.2">
      <c r="A50" s="178" t="s">
        <v>74</v>
      </c>
      <c r="B50" s="61" t="s">
        <v>75</v>
      </c>
      <c r="C50" s="15">
        <v>0</v>
      </c>
      <c r="D50" s="14" t="s">
        <v>14</v>
      </c>
      <c r="E50" s="53">
        <v>4200</v>
      </c>
      <c r="F50" s="16">
        <f t="shared" si="7"/>
        <v>0</v>
      </c>
    </row>
    <row r="51" spans="1:6" ht="15" customHeight="1" x14ac:dyDescent="0.2">
      <c r="A51" s="178" t="s">
        <v>76</v>
      </c>
      <c r="B51" s="61" t="s">
        <v>77</v>
      </c>
      <c r="C51" s="15">
        <v>0</v>
      </c>
      <c r="D51" s="14" t="s">
        <v>14</v>
      </c>
      <c r="E51" s="53">
        <v>5300</v>
      </c>
      <c r="F51" s="16">
        <f t="shared" si="7"/>
        <v>0</v>
      </c>
    </row>
    <row r="52" spans="1:6" ht="15" customHeight="1" x14ac:dyDescent="0.25">
      <c r="A52" s="177">
        <v>4.4000000000000004</v>
      </c>
      <c r="B52" s="62" t="s">
        <v>78</v>
      </c>
      <c r="C52" s="15"/>
      <c r="D52" s="14"/>
      <c r="E52" s="53"/>
      <c r="F52" s="16"/>
    </row>
    <row r="53" spans="1:6" ht="15" customHeight="1" x14ac:dyDescent="0.2">
      <c r="A53" s="178" t="s">
        <v>79</v>
      </c>
      <c r="B53" s="61" t="s">
        <v>80</v>
      </c>
      <c r="C53" s="15">
        <f>48+14+180</f>
        <v>242</v>
      </c>
      <c r="D53" s="14" t="s">
        <v>51</v>
      </c>
      <c r="E53" s="53">
        <v>325</v>
      </c>
      <c r="F53" s="16">
        <f t="shared" si="7"/>
        <v>78650</v>
      </c>
    </row>
    <row r="54" spans="1:6" ht="15" customHeight="1" x14ac:dyDescent="0.2">
      <c r="A54" s="178" t="s">
        <v>81</v>
      </c>
      <c r="B54" s="61" t="s">
        <v>82</v>
      </c>
      <c r="C54" s="15">
        <v>180</v>
      </c>
      <c r="D54" s="14" t="s">
        <v>51</v>
      </c>
      <c r="E54" s="53">
        <v>480</v>
      </c>
      <c r="F54" s="16">
        <f t="shared" si="7"/>
        <v>86400</v>
      </c>
    </row>
    <row r="55" spans="1:6" ht="15" customHeight="1" x14ac:dyDescent="0.2">
      <c r="A55" s="178" t="s">
        <v>83</v>
      </c>
      <c r="B55" s="61" t="s">
        <v>84</v>
      </c>
      <c r="C55" s="15">
        <v>0</v>
      </c>
      <c r="D55" s="14" t="s">
        <v>51</v>
      </c>
      <c r="E55" s="53">
        <v>600</v>
      </c>
      <c r="F55" s="16">
        <f t="shared" si="7"/>
        <v>0</v>
      </c>
    </row>
    <row r="56" spans="1:6" ht="15" customHeight="1" x14ac:dyDescent="0.2">
      <c r="A56" s="178" t="s">
        <v>85</v>
      </c>
      <c r="B56" s="61" t="s">
        <v>86</v>
      </c>
      <c r="C56" s="15">
        <v>0</v>
      </c>
      <c r="D56" s="14" t="s">
        <v>51</v>
      </c>
      <c r="E56" s="53">
        <v>750</v>
      </c>
      <c r="F56" s="16">
        <f t="shared" si="7"/>
        <v>0</v>
      </c>
    </row>
    <row r="57" spans="1:6" ht="15" customHeight="1" x14ac:dyDescent="0.25">
      <c r="A57" s="177">
        <v>4.5</v>
      </c>
      <c r="B57" s="62" t="s">
        <v>87</v>
      </c>
      <c r="C57" s="15"/>
      <c r="D57" s="14"/>
      <c r="E57" s="53"/>
      <c r="F57" s="16"/>
    </row>
    <row r="58" spans="1:6" ht="15" customHeight="1" x14ac:dyDescent="0.2">
      <c r="A58" s="178" t="s">
        <v>88</v>
      </c>
      <c r="B58" s="61" t="s">
        <v>89</v>
      </c>
      <c r="C58" s="15">
        <v>0</v>
      </c>
      <c r="D58" s="14" t="s">
        <v>14</v>
      </c>
      <c r="E58" s="53">
        <v>3800</v>
      </c>
      <c r="F58" s="16">
        <f t="shared" ref="F58" si="8">E58*C58</f>
        <v>0</v>
      </c>
    </row>
    <row r="59" spans="1:6" ht="15" customHeight="1" x14ac:dyDescent="0.2">
      <c r="A59" s="177">
        <v>4.5999999999999996</v>
      </c>
      <c r="B59" s="127" t="s">
        <v>90</v>
      </c>
      <c r="C59" s="15">
        <f>C33+C35</f>
        <v>771</v>
      </c>
      <c r="D59" s="128" t="s">
        <v>51</v>
      </c>
      <c r="E59" s="53">
        <v>25</v>
      </c>
      <c r="F59" s="16">
        <f t="shared" si="7"/>
        <v>19275</v>
      </c>
    </row>
    <row r="60" spans="1:6" ht="15" customHeight="1" x14ac:dyDescent="0.2">
      <c r="A60" s="177">
        <v>4.7</v>
      </c>
      <c r="B60" s="127" t="s">
        <v>91</v>
      </c>
      <c r="C60" s="15">
        <v>4</v>
      </c>
      <c r="D60" s="128" t="s">
        <v>92</v>
      </c>
      <c r="E60" s="53">
        <v>400</v>
      </c>
      <c r="F60" s="16">
        <f t="shared" si="7"/>
        <v>1600</v>
      </c>
    </row>
    <row r="61" spans="1:6" ht="15" customHeight="1" x14ac:dyDescent="0.25">
      <c r="A61" s="165">
        <v>5</v>
      </c>
      <c r="B61" s="70" t="s">
        <v>93</v>
      </c>
      <c r="C61" s="71"/>
      <c r="D61" s="72"/>
      <c r="E61" s="73"/>
      <c r="F61" s="74">
        <f>SUM(F62:F63)</f>
        <v>0</v>
      </c>
    </row>
    <row r="62" spans="1:6" ht="15" customHeight="1" x14ac:dyDescent="0.2">
      <c r="A62" s="177">
        <v>5.0999999999999996</v>
      </c>
      <c r="B62" s="61" t="s">
        <v>94</v>
      </c>
      <c r="C62" s="167">
        <v>0</v>
      </c>
      <c r="D62" s="14" t="s">
        <v>14</v>
      </c>
      <c r="E62" s="53">
        <v>280000</v>
      </c>
      <c r="F62" s="16">
        <f t="shared" si="7"/>
        <v>0</v>
      </c>
    </row>
    <row r="63" spans="1:6" ht="15" customHeight="1" x14ac:dyDescent="0.2">
      <c r="A63" s="177">
        <v>5.2</v>
      </c>
      <c r="B63" s="61" t="s">
        <v>95</v>
      </c>
      <c r="C63" s="167">
        <v>0</v>
      </c>
      <c r="D63" s="14" t="s">
        <v>14</v>
      </c>
      <c r="E63" s="53"/>
      <c r="F63" s="16">
        <f t="shared" si="7"/>
        <v>0</v>
      </c>
    </row>
    <row r="64" spans="1:6" ht="15" customHeight="1" x14ac:dyDescent="0.25">
      <c r="A64" s="165">
        <v>6</v>
      </c>
      <c r="B64" s="70" t="s">
        <v>96</v>
      </c>
      <c r="C64" s="71"/>
      <c r="D64" s="72"/>
      <c r="E64" s="79"/>
      <c r="F64" s="74">
        <f>SUM(F65:F67)</f>
        <v>7765</v>
      </c>
    </row>
    <row r="65" spans="1:6" ht="15" customHeight="1" x14ac:dyDescent="0.2">
      <c r="A65" s="177">
        <v>6.1</v>
      </c>
      <c r="B65" s="61" t="s">
        <v>97</v>
      </c>
      <c r="C65" s="15">
        <v>28</v>
      </c>
      <c r="D65" s="14" t="s">
        <v>14</v>
      </c>
      <c r="E65" s="53">
        <v>50</v>
      </c>
      <c r="F65" s="16">
        <f t="shared" ref="F65:F71" si="9">E65*C65</f>
        <v>1400</v>
      </c>
    </row>
    <row r="66" spans="1:6" ht="15" customHeight="1" x14ac:dyDescent="0.2">
      <c r="A66" s="177">
        <v>6.2</v>
      </c>
      <c r="B66" s="61" t="s">
        <v>98</v>
      </c>
      <c r="C66" s="15">
        <v>0</v>
      </c>
      <c r="D66" s="14" t="s">
        <v>11</v>
      </c>
      <c r="E66" s="53">
        <v>60</v>
      </c>
      <c r="F66" s="16">
        <f t="shared" si="9"/>
        <v>0</v>
      </c>
    </row>
    <row r="67" spans="1:6" ht="15" customHeight="1" x14ac:dyDescent="0.2">
      <c r="A67" s="177">
        <v>6.3</v>
      </c>
      <c r="B67" s="61" t="s">
        <v>99</v>
      </c>
      <c r="C67" s="15">
        <f>(45+37+298)*6.7</f>
        <v>2546</v>
      </c>
      <c r="D67" s="14" t="s">
        <v>11</v>
      </c>
      <c r="E67" s="53">
        <v>2.5</v>
      </c>
      <c r="F67" s="16">
        <f t="shared" si="9"/>
        <v>6365</v>
      </c>
    </row>
    <row r="68" spans="1:6" ht="15" customHeight="1" x14ac:dyDescent="0.25">
      <c r="A68" s="165">
        <v>7</v>
      </c>
      <c r="B68" s="70" t="s">
        <v>100</v>
      </c>
      <c r="C68" s="71"/>
      <c r="D68" s="72"/>
      <c r="E68" s="73"/>
      <c r="F68" s="74">
        <f>SUM(F69:F72)</f>
        <v>69920</v>
      </c>
    </row>
    <row r="69" spans="1:6" ht="15" customHeight="1" x14ac:dyDescent="0.2">
      <c r="A69" s="177">
        <v>7.1</v>
      </c>
      <c r="B69" s="61" t="s">
        <v>101</v>
      </c>
      <c r="C69" s="15">
        <v>0</v>
      </c>
      <c r="D69" s="14" t="s">
        <v>14</v>
      </c>
      <c r="E69" s="53">
        <v>100000</v>
      </c>
      <c r="F69" s="16">
        <f t="shared" si="9"/>
        <v>0</v>
      </c>
    </row>
    <row r="70" spans="1:6" ht="15" customHeight="1" x14ac:dyDescent="0.2">
      <c r="A70" s="177">
        <v>7.2</v>
      </c>
      <c r="B70" s="61" t="s">
        <v>102</v>
      </c>
      <c r="C70" s="15">
        <v>0</v>
      </c>
      <c r="D70" s="14" t="s">
        <v>14</v>
      </c>
      <c r="E70" s="53">
        <v>80000</v>
      </c>
      <c r="F70" s="16">
        <f t="shared" si="9"/>
        <v>0</v>
      </c>
    </row>
    <row r="71" spans="1:6" ht="15" customHeight="1" x14ac:dyDescent="0.2">
      <c r="A71" s="177">
        <v>7.3</v>
      </c>
      <c r="B71" s="61" t="s">
        <v>103</v>
      </c>
      <c r="C71" s="15">
        <f>298+45+37</f>
        <v>380</v>
      </c>
      <c r="D71" s="14" t="s">
        <v>51</v>
      </c>
      <c r="E71" s="53">
        <v>160</v>
      </c>
      <c r="F71" s="16">
        <f t="shared" si="9"/>
        <v>60800</v>
      </c>
    </row>
    <row r="72" spans="1:6" ht="15" customHeight="1" x14ac:dyDescent="0.2">
      <c r="A72" s="177">
        <v>7.4</v>
      </c>
      <c r="B72" s="61" t="s">
        <v>104</v>
      </c>
      <c r="C72" s="15">
        <v>15</v>
      </c>
      <c r="D72" s="14" t="s">
        <v>105</v>
      </c>
      <c r="E72" s="53">
        <f>SUM(F69:F71)</f>
        <v>60800</v>
      </c>
      <c r="F72" s="16">
        <f>E72*C72/100</f>
        <v>9120</v>
      </c>
    </row>
    <row r="73" spans="1:6" ht="15" customHeight="1" x14ac:dyDescent="0.25">
      <c r="A73" s="165">
        <v>8</v>
      </c>
      <c r="B73" s="70" t="s">
        <v>106</v>
      </c>
      <c r="C73" s="71"/>
      <c r="D73" s="72"/>
      <c r="E73" s="73"/>
      <c r="F73" s="74">
        <f>SUM(F74:F79)</f>
        <v>30042.093099999998</v>
      </c>
    </row>
    <row r="74" spans="1:6" ht="15" customHeight="1" x14ac:dyDescent="0.2">
      <c r="A74" s="177">
        <v>8.1</v>
      </c>
      <c r="B74" s="61" t="s">
        <v>107</v>
      </c>
      <c r="C74" s="15">
        <v>1</v>
      </c>
      <c r="D74" s="14" t="s">
        <v>14</v>
      </c>
      <c r="E74" s="53">
        <v>3000</v>
      </c>
      <c r="F74" s="16">
        <f t="shared" ref="F74:F76" si="10">C74*E74</f>
        <v>3000</v>
      </c>
    </row>
    <row r="75" spans="1:6" ht="15" customHeight="1" x14ac:dyDescent="0.2">
      <c r="A75" s="177">
        <v>8.1999999999999993</v>
      </c>
      <c r="B75" s="61" t="s">
        <v>108</v>
      </c>
      <c r="C75" s="15">
        <v>14</v>
      </c>
      <c r="D75" s="14" t="s">
        <v>14</v>
      </c>
      <c r="E75" s="53">
        <v>280</v>
      </c>
      <c r="F75" s="16">
        <f t="shared" si="10"/>
        <v>3920</v>
      </c>
    </row>
    <row r="76" spans="1:6" ht="15" customHeight="1" x14ac:dyDescent="0.2">
      <c r="A76" s="177">
        <v>8.3000000000000007</v>
      </c>
      <c r="B76" s="61" t="s">
        <v>109</v>
      </c>
      <c r="C76" s="15">
        <v>1</v>
      </c>
      <c r="D76" s="14" t="s">
        <v>14</v>
      </c>
      <c r="E76" s="53">
        <f>0.015*(F46+F31+F12)</f>
        <v>14965.3431</v>
      </c>
      <c r="F76" s="16">
        <f t="shared" si="10"/>
        <v>14965.3431</v>
      </c>
    </row>
    <row r="77" spans="1:6" ht="15" customHeight="1" x14ac:dyDescent="0.2">
      <c r="A77" s="177">
        <v>8.4</v>
      </c>
      <c r="B77" s="61" t="s">
        <v>110</v>
      </c>
      <c r="C77" s="15">
        <v>1</v>
      </c>
      <c r="D77" s="14" t="s">
        <v>14</v>
      </c>
      <c r="E77" s="53">
        <f>0.15*F64</f>
        <v>1164.75</v>
      </c>
      <c r="F77" s="16">
        <f>C77*E77</f>
        <v>1164.75</v>
      </c>
    </row>
    <row r="78" spans="1:6" ht="15" customHeight="1" x14ac:dyDescent="0.2">
      <c r="A78" s="177">
        <v>8.5</v>
      </c>
      <c r="B78" s="61" t="s">
        <v>111</v>
      </c>
      <c r="C78" s="15">
        <v>10</v>
      </c>
      <c r="D78" s="14" t="s">
        <v>112</v>
      </c>
      <c r="E78" s="53">
        <f>F62*0.015</f>
        <v>0</v>
      </c>
      <c r="F78" s="16">
        <f>C78*E78</f>
        <v>0</v>
      </c>
    </row>
    <row r="79" spans="1:6" ht="15" customHeight="1" x14ac:dyDescent="0.2">
      <c r="A79" s="177">
        <v>8.6</v>
      </c>
      <c r="B79" s="61" t="s">
        <v>113</v>
      </c>
      <c r="C79" s="15">
        <v>1</v>
      </c>
      <c r="D79" s="14" t="s">
        <v>14</v>
      </c>
      <c r="E79" s="53">
        <f>0.1*F68</f>
        <v>6992</v>
      </c>
      <c r="F79" s="16">
        <f>C79*E79</f>
        <v>6992</v>
      </c>
    </row>
    <row r="80" spans="1:6" ht="15" customHeight="1" x14ac:dyDescent="0.25">
      <c r="A80" s="165">
        <v>9</v>
      </c>
      <c r="B80" s="70" t="s">
        <v>114</v>
      </c>
      <c r="C80" s="71"/>
      <c r="D80" s="72"/>
      <c r="E80" s="73"/>
      <c r="F80" s="74">
        <f>SUM(F81:F83)</f>
        <v>0</v>
      </c>
    </row>
    <row r="84" spans="1:6" ht="15" customHeight="1" x14ac:dyDescent="0.25">
      <c r="A84" s="92"/>
      <c r="B84" s="160" t="s">
        <v>115</v>
      </c>
      <c r="C84" s="75"/>
      <c r="D84" s="76"/>
      <c r="E84" s="83"/>
      <c r="F84" s="181">
        <f>SUM(F5,F12,F31,F46,F61,F64,F68,F73,F80)</f>
        <v>1267565.7245</v>
      </c>
    </row>
    <row r="85" spans="1:6" ht="15" customHeight="1" x14ac:dyDescent="0.25">
      <c r="A85" s="165">
        <v>10</v>
      </c>
      <c r="B85" s="70" t="s">
        <v>116</v>
      </c>
      <c r="C85" s="71"/>
      <c r="D85" s="72"/>
      <c r="E85" s="73"/>
      <c r="F85" s="74"/>
    </row>
    <row r="86" spans="1:6" ht="15" customHeight="1" x14ac:dyDescent="0.2">
      <c r="A86" s="177">
        <v>10.1</v>
      </c>
      <c r="B86" s="61" t="s">
        <v>117</v>
      </c>
      <c r="C86" s="166">
        <v>3.25</v>
      </c>
      <c r="D86" s="14" t="s">
        <v>105</v>
      </c>
      <c r="E86" s="175"/>
      <c r="F86" s="176">
        <f>C86%*F$84</f>
        <v>41195.886046250002</v>
      </c>
    </row>
    <row r="87" spans="1:6" ht="15" customHeight="1" x14ac:dyDescent="0.2">
      <c r="A87" s="177">
        <v>10.199999999999999</v>
      </c>
      <c r="B87" s="61" t="s">
        <v>118</v>
      </c>
      <c r="C87" s="166">
        <v>1</v>
      </c>
      <c r="D87" s="14" t="s">
        <v>105</v>
      </c>
      <c r="E87" s="175"/>
      <c r="F87" s="176">
        <f t="shared" ref="F87:F93" si="11">C87%*F$84</f>
        <v>12675.657245</v>
      </c>
    </row>
    <row r="88" spans="1:6" ht="15" customHeight="1" x14ac:dyDescent="0.2">
      <c r="A88" s="177">
        <v>10.3</v>
      </c>
      <c r="B88" s="61" t="s">
        <v>119</v>
      </c>
      <c r="C88" s="166">
        <v>5</v>
      </c>
      <c r="D88" s="14" t="s">
        <v>105</v>
      </c>
      <c r="E88" s="175"/>
      <c r="F88" s="176">
        <f t="shared" si="11"/>
        <v>63378.286225000003</v>
      </c>
    </row>
    <row r="89" spans="1:6" ht="15" customHeight="1" x14ac:dyDescent="0.2">
      <c r="A89" s="177">
        <v>10.4</v>
      </c>
      <c r="B89" s="61" t="s">
        <v>120</v>
      </c>
      <c r="C89" s="166">
        <v>0.5</v>
      </c>
      <c r="D89" s="14" t="s">
        <v>105</v>
      </c>
      <c r="E89" s="175"/>
      <c r="F89" s="176">
        <f t="shared" si="11"/>
        <v>6337.8286225000002</v>
      </c>
    </row>
    <row r="90" spans="1:6" ht="15" customHeight="1" x14ac:dyDescent="0.2">
      <c r="A90" s="177">
        <v>10.5</v>
      </c>
      <c r="B90" s="61" t="s">
        <v>121</v>
      </c>
      <c r="C90" s="166">
        <v>5</v>
      </c>
      <c r="D90" s="14" t="s">
        <v>105</v>
      </c>
      <c r="E90" s="175"/>
      <c r="F90" s="176">
        <f t="shared" si="11"/>
        <v>63378.286225000003</v>
      </c>
    </row>
    <row r="91" spans="1:6" ht="15" customHeight="1" x14ac:dyDescent="0.2">
      <c r="A91" s="177">
        <v>10.6</v>
      </c>
      <c r="B91" s="61" t="s">
        <v>122</v>
      </c>
      <c r="C91" s="166">
        <v>9</v>
      </c>
      <c r="D91" s="14" t="s">
        <v>105</v>
      </c>
      <c r="E91" s="175"/>
      <c r="F91" s="176">
        <f t="shared" si="11"/>
        <v>114080.915205</v>
      </c>
    </row>
    <row r="92" spans="1:6" ht="15" customHeight="1" x14ac:dyDescent="0.2">
      <c r="A92" s="177">
        <v>10.7</v>
      </c>
      <c r="B92" s="61" t="s">
        <v>123</v>
      </c>
      <c r="C92" s="166">
        <v>2.5</v>
      </c>
      <c r="D92" s="14" t="s">
        <v>105</v>
      </c>
      <c r="E92" s="175"/>
      <c r="F92" s="176">
        <f t="shared" si="11"/>
        <v>31689.143112500002</v>
      </c>
    </row>
    <row r="93" spans="1:6" ht="15" customHeight="1" x14ac:dyDescent="0.2">
      <c r="A93" s="177">
        <v>10.8</v>
      </c>
      <c r="B93" s="61" t="s">
        <v>124</v>
      </c>
      <c r="C93" s="166">
        <v>15</v>
      </c>
      <c r="D93" s="14" t="s">
        <v>105</v>
      </c>
      <c r="E93" s="175"/>
      <c r="F93" s="176">
        <f t="shared" si="11"/>
        <v>190134.858675</v>
      </c>
    </row>
    <row r="94" spans="1:6" ht="15" customHeight="1" x14ac:dyDescent="0.25">
      <c r="A94" s="92"/>
      <c r="B94" s="160" t="s">
        <v>125</v>
      </c>
      <c r="C94" s="75"/>
      <c r="D94" s="76"/>
      <c r="E94" s="83"/>
      <c r="F94" s="181">
        <f>SUM(F84:F93)</f>
        <v>1790436.5858562496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00000"/>
  </sheetPr>
  <dimension ref="A1:F94"/>
  <sheetViews>
    <sheetView workbookViewId="0">
      <selection activeCell="A57" sqref="A57:F58"/>
    </sheetView>
  </sheetViews>
  <sheetFormatPr defaultColWidth="9.140625" defaultRowHeight="15" customHeight="1" x14ac:dyDescent="0.2"/>
  <cols>
    <col min="1" max="1" width="12.7109375" style="162" customWidth="1"/>
    <col min="2" max="2" width="50.7109375" style="162" customWidth="1"/>
    <col min="3" max="4" width="12.7109375" style="162" customWidth="1"/>
    <col min="5" max="6" width="15.7109375" style="162" customWidth="1"/>
    <col min="7" max="16384" width="9.140625" style="162"/>
  </cols>
  <sheetData>
    <row r="1" spans="1:6" ht="15" customHeight="1" x14ac:dyDescent="0.25">
      <c r="A1" s="1" t="s">
        <v>0</v>
      </c>
      <c r="F1" s="161">
        <v>43544</v>
      </c>
    </row>
    <row r="2" spans="1:6" ht="15" customHeight="1" x14ac:dyDescent="0.25">
      <c r="A2" s="1" t="s">
        <v>140</v>
      </c>
    </row>
    <row r="4" spans="1:6" ht="30" x14ac:dyDescent="0.2">
      <c r="A4" s="182" t="s">
        <v>2</v>
      </c>
      <c r="B4" s="182" t="s">
        <v>3</v>
      </c>
      <c r="C4" s="182" t="s">
        <v>4</v>
      </c>
      <c r="D4" s="182" t="s">
        <v>5</v>
      </c>
      <c r="E4" s="183" t="s">
        <v>6</v>
      </c>
      <c r="F4" s="183" t="s">
        <v>7</v>
      </c>
    </row>
    <row r="5" spans="1:6" ht="15" customHeight="1" x14ac:dyDescent="0.25">
      <c r="A5" s="165">
        <v>1</v>
      </c>
      <c r="B5" s="70" t="s">
        <v>8</v>
      </c>
      <c r="C5" s="71"/>
      <c r="D5" s="72"/>
      <c r="E5" s="79"/>
      <c r="F5" s="74">
        <f>SUM(F6:F11)</f>
        <v>121735.62210000001</v>
      </c>
    </row>
    <row r="6" spans="1:6" ht="15" customHeight="1" x14ac:dyDescent="0.2">
      <c r="A6" s="177">
        <v>1.1000000000000001</v>
      </c>
      <c r="B6" s="127" t="s">
        <v>9</v>
      </c>
      <c r="C6" s="167">
        <f>C7</f>
        <v>2705.04</v>
      </c>
      <c r="D6" s="173" t="s">
        <v>11</v>
      </c>
      <c r="E6" s="174">
        <v>5</v>
      </c>
      <c r="F6" s="170">
        <f t="shared" ref="F6:F11" si="0">C6*E6</f>
        <v>13525.2</v>
      </c>
    </row>
    <row r="7" spans="1:6" ht="15" customHeight="1" x14ac:dyDescent="0.2">
      <c r="A7" s="177">
        <v>1.2</v>
      </c>
      <c r="B7" s="127" t="s">
        <v>12</v>
      </c>
      <c r="C7" s="167">
        <f>ROUNDUP(C33/2*5,0)+C43+C40+(C14+C20+C26)*0.2</f>
        <v>2705.04</v>
      </c>
      <c r="D7" s="173" t="s">
        <v>11</v>
      </c>
      <c r="E7" s="174">
        <v>7</v>
      </c>
      <c r="F7" s="170">
        <f t="shared" si="0"/>
        <v>18935.28</v>
      </c>
    </row>
    <row r="8" spans="1:6" ht="15" customHeight="1" x14ac:dyDescent="0.2">
      <c r="A8" s="177">
        <v>1.3</v>
      </c>
      <c r="B8" s="127" t="s">
        <v>13</v>
      </c>
      <c r="C8" s="167">
        <v>1</v>
      </c>
      <c r="D8" s="173" t="s">
        <v>14</v>
      </c>
      <c r="E8" s="174">
        <v>2000</v>
      </c>
      <c r="F8" s="170">
        <f t="shared" si="0"/>
        <v>2000</v>
      </c>
    </row>
    <row r="9" spans="1:6" ht="15" customHeight="1" x14ac:dyDescent="0.2">
      <c r="A9" s="177">
        <v>1.4</v>
      </c>
      <c r="B9" s="127" t="s">
        <v>15</v>
      </c>
      <c r="C9" s="167">
        <v>1</v>
      </c>
      <c r="D9" s="173" t="s">
        <v>14</v>
      </c>
      <c r="E9" s="174">
        <v>8000</v>
      </c>
      <c r="F9" s="170">
        <f t="shared" si="0"/>
        <v>8000</v>
      </c>
    </row>
    <row r="10" spans="1:6" ht="15" customHeight="1" x14ac:dyDescent="0.2">
      <c r="A10" s="177">
        <v>1.5</v>
      </c>
      <c r="B10" s="127" t="s">
        <v>16</v>
      </c>
      <c r="C10" s="167">
        <f>(C16*0.4+C37*0.25+C43*0.175+C17*0.3)*0.6+380</f>
        <v>1317.3137000000002</v>
      </c>
      <c r="D10" s="173" t="s">
        <v>17</v>
      </c>
      <c r="E10" s="174">
        <v>45</v>
      </c>
      <c r="F10" s="170">
        <f t="shared" si="0"/>
        <v>59279.116500000004</v>
      </c>
    </row>
    <row r="11" spans="1:6" ht="15" customHeight="1" x14ac:dyDescent="0.2">
      <c r="A11" s="177">
        <v>1.6</v>
      </c>
      <c r="B11" s="127" t="s">
        <v>18</v>
      </c>
      <c r="C11" s="167">
        <f>(C16*0.4+C37*0.25+C43*0.175+C17*0.3)*0.4</f>
        <v>624.87580000000014</v>
      </c>
      <c r="D11" s="173" t="s">
        <v>17</v>
      </c>
      <c r="E11" s="174">
        <v>32</v>
      </c>
      <c r="F11" s="170">
        <f t="shared" si="0"/>
        <v>19996.025600000004</v>
      </c>
    </row>
    <row r="12" spans="1:6" ht="15" customHeight="1" x14ac:dyDescent="0.25">
      <c r="A12" s="165">
        <v>2</v>
      </c>
      <c r="B12" s="70" t="s">
        <v>19</v>
      </c>
      <c r="C12" s="71"/>
      <c r="D12" s="72"/>
      <c r="E12" s="79"/>
      <c r="F12" s="74">
        <f>SUM(F14:F30)</f>
        <v>371665.56</v>
      </c>
    </row>
    <row r="13" spans="1:6" ht="15" customHeight="1" x14ac:dyDescent="0.25">
      <c r="A13" s="163">
        <v>2.1</v>
      </c>
      <c r="B13" s="62" t="s">
        <v>20</v>
      </c>
      <c r="C13" s="167"/>
      <c r="D13" s="168"/>
      <c r="E13" s="172"/>
      <c r="F13" s="170"/>
    </row>
    <row r="14" spans="1:6" ht="15" customHeight="1" x14ac:dyDescent="0.2">
      <c r="A14" s="164" t="s">
        <v>21</v>
      </c>
      <c r="B14" s="127" t="s">
        <v>22</v>
      </c>
      <c r="C14" s="167">
        <f>289*9.3</f>
        <v>2687.7000000000003</v>
      </c>
      <c r="D14" s="173" t="s">
        <v>11</v>
      </c>
      <c r="E14" s="174">
        <v>27</v>
      </c>
      <c r="F14" s="170">
        <f t="shared" ref="F14:F18" si="1">C14*E14</f>
        <v>72567.900000000009</v>
      </c>
    </row>
    <row r="15" spans="1:6" ht="15" customHeight="1" x14ac:dyDescent="0.2">
      <c r="A15" s="164" t="s">
        <v>23</v>
      </c>
      <c r="B15" s="127" t="s">
        <v>24</v>
      </c>
      <c r="C15" s="167">
        <f>C14</f>
        <v>2687.7000000000003</v>
      </c>
      <c r="D15" s="173" t="s">
        <v>11</v>
      </c>
      <c r="E15" s="174">
        <f>ROUNDUP(32*100/75,0)</f>
        <v>43</v>
      </c>
      <c r="F15" s="170">
        <f t="shared" si="1"/>
        <v>115571.1</v>
      </c>
    </row>
    <row r="16" spans="1:6" ht="15" customHeight="1" x14ac:dyDescent="0.2">
      <c r="A16" s="164" t="s">
        <v>25</v>
      </c>
      <c r="B16" s="127" t="s">
        <v>26</v>
      </c>
      <c r="C16" s="167">
        <f>C15+(C35*0.45)+(C33*0.75)</f>
        <v>3121.2000000000003</v>
      </c>
      <c r="D16" s="173" t="s">
        <v>11</v>
      </c>
      <c r="E16" s="174">
        <f>ROUNDUP(18*260/110,0)</f>
        <v>43</v>
      </c>
      <c r="F16" s="170">
        <f t="shared" si="1"/>
        <v>134211.6</v>
      </c>
    </row>
    <row r="17" spans="1:6" ht="15" customHeight="1" x14ac:dyDescent="0.2">
      <c r="A17" s="164" t="s">
        <v>27</v>
      </c>
      <c r="B17" s="127" t="s">
        <v>28</v>
      </c>
      <c r="C17" s="167">
        <f>C16*0.2</f>
        <v>624.24000000000012</v>
      </c>
      <c r="D17" s="173" t="s">
        <v>11</v>
      </c>
      <c r="E17" s="174">
        <v>24</v>
      </c>
      <c r="F17" s="170">
        <f t="shared" si="1"/>
        <v>14981.760000000002</v>
      </c>
    </row>
    <row r="18" spans="1:6" ht="15" customHeight="1" x14ac:dyDescent="0.2">
      <c r="A18" s="164" t="s">
        <v>29</v>
      </c>
      <c r="B18" s="127" t="s">
        <v>30</v>
      </c>
      <c r="C18" s="167">
        <f>C16*0.1</f>
        <v>312.12000000000006</v>
      </c>
      <c r="D18" s="173" t="s">
        <v>11</v>
      </c>
      <c r="E18" s="174">
        <v>110</v>
      </c>
      <c r="F18" s="170">
        <f t="shared" si="1"/>
        <v>34333.200000000004</v>
      </c>
    </row>
    <row r="19" spans="1:6" ht="15" customHeight="1" x14ac:dyDescent="0.25">
      <c r="A19" s="163">
        <v>2.2000000000000002</v>
      </c>
      <c r="B19" s="62" t="s">
        <v>31</v>
      </c>
      <c r="C19" s="167"/>
      <c r="D19" s="168"/>
      <c r="E19" s="172"/>
      <c r="F19" s="170"/>
    </row>
    <row r="20" spans="1:6" ht="15" customHeight="1" x14ac:dyDescent="0.2">
      <c r="A20" s="164" t="s">
        <v>32</v>
      </c>
      <c r="B20" s="127" t="s">
        <v>22</v>
      </c>
      <c r="C20" s="167">
        <v>0</v>
      </c>
      <c r="D20" s="173" t="s">
        <v>11</v>
      </c>
      <c r="E20" s="174">
        <v>27</v>
      </c>
      <c r="F20" s="170">
        <f t="shared" ref="F20:F24" si="2">C20*E20</f>
        <v>0</v>
      </c>
    </row>
    <row r="21" spans="1:6" ht="15" customHeight="1" x14ac:dyDescent="0.2">
      <c r="A21" s="164" t="s">
        <v>33</v>
      </c>
      <c r="B21" s="127" t="s">
        <v>34</v>
      </c>
      <c r="C21" s="167">
        <f>C20</f>
        <v>0</v>
      </c>
      <c r="D21" s="173" t="s">
        <v>11</v>
      </c>
      <c r="E21" s="174">
        <f>ROUNDUP(32*150/75,0)</f>
        <v>64</v>
      </c>
      <c r="F21" s="170">
        <f t="shared" si="2"/>
        <v>0</v>
      </c>
    </row>
    <row r="22" spans="1:6" ht="15" customHeight="1" x14ac:dyDescent="0.2">
      <c r="A22" s="164" t="s">
        <v>35</v>
      </c>
      <c r="B22" s="127" t="s">
        <v>36</v>
      </c>
      <c r="C22" s="167">
        <v>0</v>
      </c>
      <c r="D22" s="173" t="s">
        <v>11</v>
      </c>
      <c r="E22" s="174">
        <f>ROUNDUP(18*300/110,0)</f>
        <v>50</v>
      </c>
      <c r="F22" s="170">
        <f t="shared" si="2"/>
        <v>0</v>
      </c>
    </row>
    <row r="23" spans="1:6" ht="15" customHeight="1" x14ac:dyDescent="0.2">
      <c r="A23" s="164" t="s">
        <v>37</v>
      </c>
      <c r="B23" s="127" t="s">
        <v>28</v>
      </c>
      <c r="C23" s="167">
        <f>C22*0.2</f>
        <v>0</v>
      </c>
      <c r="D23" s="173" t="s">
        <v>11</v>
      </c>
      <c r="E23" s="174">
        <v>24</v>
      </c>
      <c r="F23" s="170">
        <f t="shared" si="2"/>
        <v>0</v>
      </c>
    </row>
    <row r="24" spans="1:6" ht="15" customHeight="1" x14ac:dyDescent="0.2">
      <c r="A24" s="164" t="s">
        <v>38</v>
      </c>
      <c r="B24" s="127" t="s">
        <v>30</v>
      </c>
      <c r="C24" s="167">
        <f>C22*0.1</f>
        <v>0</v>
      </c>
      <c r="D24" s="173" t="s">
        <v>11</v>
      </c>
      <c r="E24" s="174">
        <v>110</v>
      </c>
      <c r="F24" s="170">
        <f t="shared" si="2"/>
        <v>0</v>
      </c>
    </row>
    <row r="25" spans="1:6" ht="15" customHeight="1" x14ac:dyDescent="0.25">
      <c r="A25" s="163">
        <v>2.2999999999999998</v>
      </c>
      <c r="B25" s="62" t="s">
        <v>39</v>
      </c>
      <c r="C25" s="167"/>
      <c r="D25" s="179"/>
      <c r="E25" s="179"/>
      <c r="F25" s="180"/>
    </row>
    <row r="26" spans="1:6" ht="15" customHeight="1" x14ac:dyDescent="0.2">
      <c r="A26" s="164" t="s">
        <v>40</v>
      </c>
      <c r="B26" s="127" t="s">
        <v>41</v>
      </c>
      <c r="C26" s="167">
        <v>0</v>
      </c>
      <c r="D26" s="173" t="s">
        <v>11</v>
      </c>
      <c r="E26" s="174">
        <f>ROUNDUP(E14*0.85,0)</f>
        <v>23</v>
      </c>
      <c r="F26" s="170">
        <f t="shared" ref="F26:F30" si="3">C26*E26</f>
        <v>0</v>
      </c>
    </row>
    <row r="27" spans="1:6" ht="15" customHeight="1" x14ac:dyDescent="0.2">
      <c r="A27" s="164" t="s">
        <v>42</v>
      </c>
      <c r="B27" s="127" t="s">
        <v>24</v>
      </c>
      <c r="C27" s="167">
        <f>C26</f>
        <v>0</v>
      </c>
      <c r="D27" s="173" t="s">
        <v>11</v>
      </c>
      <c r="E27" s="174">
        <f>E15</f>
        <v>43</v>
      </c>
      <c r="F27" s="170">
        <f t="shared" si="3"/>
        <v>0</v>
      </c>
    </row>
    <row r="28" spans="1:6" ht="15" customHeight="1" x14ac:dyDescent="0.2">
      <c r="A28" s="164" t="s">
        <v>43</v>
      </c>
      <c r="B28" s="127" t="s">
        <v>44</v>
      </c>
      <c r="C28" s="167">
        <v>0</v>
      </c>
      <c r="D28" s="173" t="s">
        <v>11</v>
      </c>
      <c r="E28" s="174">
        <f>E16</f>
        <v>43</v>
      </c>
      <c r="F28" s="170">
        <f t="shared" si="3"/>
        <v>0</v>
      </c>
    </row>
    <row r="29" spans="1:6" ht="15" customHeight="1" x14ac:dyDescent="0.2">
      <c r="A29" s="164" t="s">
        <v>45</v>
      </c>
      <c r="B29" s="127" t="s">
        <v>28</v>
      </c>
      <c r="C29" s="167">
        <f>C28*0.2</f>
        <v>0</v>
      </c>
      <c r="D29" s="173" t="s">
        <v>11</v>
      </c>
      <c r="E29" s="174">
        <f>E17</f>
        <v>24</v>
      </c>
      <c r="F29" s="170">
        <f t="shared" si="3"/>
        <v>0</v>
      </c>
    </row>
    <row r="30" spans="1:6" ht="15" customHeight="1" x14ac:dyDescent="0.2">
      <c r="A30" s="164" t="s">
        <v>46</v>
      </c>
      <c r="B30" s="127" t="s">
        <v>30</v>
      </c>
      <c r="C30" s="167">
        <f>C28*0.1</f>
        <v>0</v>
      </c>
      <c r="D30" s="173" t="s">
        <v>11</v>
      </c>
      <c r="E30" s="174">
        <f>E18</f>
        <v>110</v>
      </c>
      <c r="F30" s="170">
        <f t="shared" si="3"/>
        <v>0</v>
      </c>
    </row>
    <row r="31" spans="1:6" x14ac:dyDescent="0.25">
      <c r="A31" s="165">
        <v>3</v>
      </c>
      <c r="B31" s="70" t="s">
        <v>47</v>
      </c>
      <c r="C31" s="71"/>
      <c r="D31" s="72"/>
      <c r="E31" s="79"/>
      <c r="F31" s="74">
        <f>SUM(F33:F45)</f>
        <v>99849.5</v>
      </c>
    </row>
    <row r="32" spans="1:6" ht="15" customHeight="1" x14ac:dyDescent="0.25">
      <c r="A32" s="177">
        <v>3.1</v>
      </c>
      <c r="B32" s="62" t="s">
        <v>48</v>
      </c>
      <c r="C32" s="15"/>
      <c r="D32" s="14"/>
      <c r="E32" s="53"/>
      <c r="F32" s="16"/>
    </row>
    <row r="33" spans="1:6" ht="15" customHeight="1" x14ac:dyDescent="0.2">
      <c r="A33" s="178" t="s">
        <v>49</v>
      </c>
      <c r="B33" s="61" t="s">
        <v>50</v>
      </c>
      <c r="C33" s="167">
        <f>2*289</f>
        <v>578</v>
      </c>
      <c r="D33" s="168" t="s">
        <v>51</v>
      </c>
      <c r="E33" s="169">
        <v>64</v>
      </c>
      <c r="F33" s="170">
        <f t="shared" ref="F33:F35" si="4">SUM(E33*C33)</f>
        <v>36992</v>
      </c>
    </row>
    <row r="34" spans="1:6" ht="15" customHeight="1" x14ac:dyDescent="0.2">
      <c r="A34" s="178" t="s">
        <v>52</v>
      </c>
      <c r="B34" s="61" t="s">
        <v>53</v>
      </c>
      <c r="C34" s="167">
        <v>0</v>
      </c>
      <c r="D34" s="168" t="s">
        <v>51</v>
      </c>
      <c r="E34" s="169">
        <v>61</v>
      </c>
      <c r="F34" s="170">
        <f t="shared" si="4"/>
        <v>0</v>
      </c>
    </row>
    <row r="35" spans="1:6" ht="15" customHeight="1" x14ac:dyDescent="0.2">
      <c r="A35" s="178" t="s">
        <v>54</v>
      </c>
      <c r="B35" s="61" t="s">
        <v>55</v>
      </c>
      <c r="C35" s="167">
        <v>0</v>
      </c>
      <c r="D35" s="168" t="s">
        <v>51</v>
      </c>
      <c r="E35" s="169">
        <v>52</v>
      </c>
      <c r="F35" s="170">
        <f t="shared" si="4"/>
        <v>0</v>
      </c>
    </row>
    <row r="36" spans="1:6" x14ac:dyDescent="0.25">
      <c r="A36" s="177">
        <v>3.2</v>
      </c>
      <c r="B36" s="62" t="s">
        <v>56</v>
      </c>
      <c r="C36" s="171"/>
      <c r="D36" s="171"/>
      <c r="E36" s="171"/>
      <c r="F36" s="171"/>
    </row>
    <row r="37" spans="1:6" ht="14.25" x14ac:dyDescent="0.2">
      <c r="A37" s="178" t="s">
        <v>57</v>
      </c>
      <c r="B37" s="61" t="s">
        <v>58</v>
      </c>
      <c r="C37" s="167">
        <v>0</v>
      </c>
      <c r="D37" s="168" t="s">
        <v>11</v>
      </c>
      <c r="E37" s="169">
        <v>70</v>
      </c>
      <c r="F37" s="170">
        <f>SUM(E37*C37)</f>
        <v>0</v>
      </c>
    </row>
    <row r="38" spans="1:6" ht="15" customHeight="1" x14ac:dyDescent="0.2">
      <c r="A38" s="178" t="s">
        <v>59</v>
      </c>
      <c r="B38" s="61" t="s">
        <v>60</v>
      </c>
      <c r="C38" s="167">
        <f>C37</f>
        <v>0</v>
      </c>
      <c r="D38" s="168" t="s">
        <v>11</v>
      </c>
      <c r="E38" s="169">
        <v>35</v>
      </c>
      <c r="F38" s="170">
        <f>SUM(E38*C38)</f>
        <v>0</v>
      </c>
    </row>
    <row r="39" spans="1:6" ht="15" customHeight="1" x14ac:dyDescent="0.25">
      <c r="A39" s="177">
        <v>3.3</v>
      </c>
      <c r="B39" s="62" t="s">
        <v>61</v>
      </c>
      <c r="E39" s="169"/>
      <c r="F39" s="170"/>
    </row>
    <row r="40" spans="1:6" ht="15" customHeight="1" x14ac:dyDescent="0.2">
      <c r="A40" s="178" t="s">
        <v>62</v>
      </c>
      <c r="B40" s="61" t="s">
        <v>63</v>
      </c>
      <c r="C40" s="167">
        <v>0</v>
      </c>
      <c r="D40" s="168" t="s">
        <v>11</v>
      </c>
      <c r="E40" s="169">
        <f>ROUNDUP(E37*125/150,0)</f>
        <v>59</v>
      </c>
      <c r="F40" s="170">
        <f t="shared" ref="F40:F41" si="5">SUM(E40*C40)</f>
        <v>0</v>
      </c>
    </row>
    <row r="41" spans="1:6" ht="15" customHeight="1" x14ac:dyDescent="0.2">
      <c r="A41" s="178" t="s">
        <v>64</v>
      </c>
      <c r="B41" s="61" t="s">
        <v>65</v>
      </c>
      <c r="C41" s="167">
        <f>C40</f>
        <v>0</v>
      </c>
      <c r="D41" s="168" t="s">
        <v>11</v>
      </c>
      <c r="E41" s="169">
        <f>ROUNDUP(E38*0.8,0)</f>
        <v>28</v>
      </c>
      <c r="F41" s="170">
        <f t="shared" si="5"/>
        <v>0</v>
      </c>
    </row>
    <row r="42" spans="1:6" ht="15" customHeight="1" x14ac:dyDescent="0.25">
      <c r="A42" s="177">
        <v>3.4</v>
      </c>
      <c r="B42" s="62" t="s">
        <v>66</v>
      </c>
      <c r="E42" s="169"/>
      <c r="F42" s="170"/>
    </row>
    <row r="43" spans="1:6" ht="15" customHeight="1" x14ac:dyDescent="0.2">
      <c r="A43" s="178" t="s">
        <v>67</v>
      </c>
      <c r="B43" s="61" t="s">
        <v>63</v>
      </c>
      <c r="C43" s="167">
        <f>289*2.5</f>
        <v>722.5</v>
      </c>
      <c r="D43" s="168" t="s">
        <v>11</v>
      </c>
      <c r="E43" s="169">
        <f>E40</f>
        <v>59</v>
      </c>
      <c r="F43" s="170">
        <f t="shared" ref="F43:F45" si="6">SUM(E43*C43)</f>
        <v>42627.5</v>
      </c>
    </row>
    <row r="44" spans="1:6" ht="14.25" x14ac:dyDescent="0.2">
      <c r="A44" s="178" t="s">
        <v>68</v>
      </c>
      <c r="B44" s="61" t="s">
        <v>65</v>
      </c>
      <c r="C44" s="167">
        <f>C43</f>
        <v>722.5</v>
      </c>
      <c r="D44" s="168" t="s">
        <v>11</v>
      </c>
      <c r="E44" s="169">
        <f>ROUNDUP(E38*0.8,0)</f>
        <v>28</v>
      </c>
      <c r="F44" s="170">
        <f t="shared" si="6"/>
        <v>20230</v>
      </c>
    </row>
    <row r="45" spans="1:6" ht="15" customHeight="1" x14ac:dyDescent="0.2">
      <c r="A45" s="177">
        <v>3.5</v>
      </c>
      <c r="B45" s="61" t="s">
        <v>69</v>
      </c>
      <c r="C45" s="167">
        <v>0</v>
      </c>
      <c r="D45" s="168" t="s">
        <v>14</v>
      </c>
      <c r="E45" s="169">
        <v>650</v>
      </c>
      <c r="F45" s="170">
        <f t="shared" si="6"/>
        <v>0</v>
      </c>
    </row>
    <row r="46" spans="1:6" ht="15" customHeight="1" x14ac:dyDescent="0.25">
      <c r="A46" s="165">
        <v>4</v>
      </c>
      <c r="B46" s="70" t="s">
        <v>70</v>
      </c>
      <c r="C46" s="71"/>
      <c r="D46" s="72"/>
      <c r="E46" s="79"/>
      <c r="F46" s="74">
        <f>SUM(F47:F60)</f>
        <v>144600</v>
      </c>
    </row>
    <row r="47" spans="1:6" ht="15" customHeight="1" x14ac:dyDescent="0.2">
      <c r="A47" s="177">
        <v>4.0999999999999996</v>
      </c>
      <c r="B47" s="61" t="s">
        <v>71</v>
      </c>
      <c r="C47" s="15">
        <v>6</v>
      </c>
      <c r="D47" s="14" t="s">
        <v>14</v>
      </c>
      <c r="E47" s="53">
        <v>4900</v>
      </c>
      <c r="F47" s="16">
        <f t="shared" ref="F47:F63" si="7">E47*C47</f>
        <v>29400</v>
      </c>
    </row>
    <row r="48" spans="1:6" ht="15" customHeight="1" x14ac:dyDescent="0.2">
      <c r="A48" s="177">
        <v>4.2</v>
      </c>
      <c r="B48" s="61" t="s">
        <v>72</v>
      </c>
      <c r="C48" s="15">
        <v>0</v>
      </c>
      <c r="D48" s="14" t="s">
        <v>14</v>
      </c>
      <c r="E48" s="53">
        <v>1650</v>
      </c>
      <c r="F48" s="16">
        <f t="shared" si="7"/>
        <v>0</v>
      </c>
    </row>
    <row r="49" spans="1:6" ht="15" customHeight="1" x14ac:dyDescent="0.25">
      <c r="A49" s="177">
        <v>4.3</v>
      </c>
      <c r="B49" s="62" t="s">
        <v>73</v>
      </c>
      <c r="C49" s="15"/>
      <c r="D49" s="14"/>
      <c r="E49" s="53"/>
      <c r="F49" s="16"/>
    </row>
    <row r="50" spans="1:6" ht="15" customHeight="1" x14ac:dyDescent="0.2">
      <c r="A50" s="178" t="s">
        <v>74</v>
      </c>
      <c r="B50" s="61" t="s">
        <v>75</v>
      </c>
      <c r="C50" s="15">
        <v>1</v>
      </c>
      <c r="D50" s="14" t="s">
        <v>14</v>
      </c>
      <c r="E50" s="53">
        <v>4200</v>
      </c>
      <c r="F50" s="16">
        <f t="shared" si="7"/>
        <v>4200</v>
      </c>
    </row>
    <row r="51" spans="1:6" ht="15" customHeight="1" x14ac:dyDescent="0.2">
      <c r="A51" s="178" t="s">
        <v>76</v>
      </c>
      <c r="B51" s="61" t="s">
        <v>77</v>
      </c>
      <c r="C51" s="15">
        <v>0</v>
      </c>
      <c r="D51" s="14" t="s">
        <v>14</v>
      </c>
      <c r="E51" s="53">
        <v>5300</v>
      </c>
      <c r="F51" s="16">
        <f t="shared" si="7"/>
        <v>0</v>
      </c>
    </row>
    <row r="52" spans="1:6" ht="15" customHeight="1" x14ac:dyDescent="0.25">
      <c r="A52" s="177">
        <v>4.4000000000000004</v>
      </c>
      <c r="B52" s="62" t="s">
        <v>78</v>
      </c>
      <c r="C52" s="15"/>
      <c r="D52" s="14"/>
      <c r="E52" s="53"/>
      <c r="F52" s="16"/>
    </row>
    <row r="53" spans="1:6" ht="15" customHeight="1" x14ac:dyDescent="0.2">
      <c r="A53" s="178" t="s">
        <v>79</v>
      </c>
      <c r="B53" s="61" t="s">
        <v>80</v>
      </c>
      <c r="C53" s="15">
        <v>126</v>
      </c>
      <c r="D53" s="14" t="s">
        <v>51</v>
      </c>
      <c r="E53" s="53">
        <v>325</v>
      </c>
      <c r="F53" s="16">
        <f t="shared" si="7"/>
        <v>40950</v>
      </c>
    </row>
    <row r="54" spans="1:6" ht="15" customHeight="1" x14ac:dyDescent="0.2">
      <c r="A54" s="178" t="s">
        <v>81</v>
      </c>
      <c r="B54" s="61" t="s">
        <v>82</v>
      </c>
      <c r="C54" s="15">
        <v>90</v>
      </c>
      <c r="D54" s="14" t="s">
        <v>51</v>
      </c>
      <c r="E54" s="53">
        <v>480</v>
      </c>
      <c r="F54" s="16">
        <f t="shared" si="7"/>
        <v>43200</v>
      </c>
    </row>
    <row r="55" spans="1:6" ht="15" customHeight="1" x14ac:dyDescent="0.2">
      <c r="A55" s="178" t="s">
        <v>83</v>
      </c>
      <c r="B55" s="61" t="s">
        <v>84</v>
      </c>
      <c r="C55" s="15">
        <v>18</v>
      </c>
      <c r="D55" s="14" t="s">
        <v>51</v>
      </c>
      <c r="E55" s="53">
        <v>600</v>
      </c>
      <c r="F55" s="16">
        <f t="shared" si="7"/>
        <v>10800</v>
      </c>
    </row>
    <row r="56" spans="1:6" ht="15" customHeight="1" x14ac:dyDescent="0.2">
      <c r="A56" s="178" t="s">
        <v>85</v>
      </c>
      <c r="B56" s="61" t="s">
        <v>86</v>
      </c>
      <c r="C56" s="15">
        <v>0</v>
      </c>
      <c r="D56" s="14" t="s">
        <v>51</v>
      </c>
      <c r="E56" s="53">
        <v>750</v>
      </c>
      <c r="F56" s="16">
        <f t="shared" si="7"/>
        <v>0</v>
      </c>
    </row>
    <row r="57" spans="1:6" ht="15" customHeight="1" x14ac:dyDescent="0.25">
      <c r="A57" s="177">
        <v>4.5</v>
      </c>
      <c r="B57" s="62" t="s">
        <v>87</v>
      </c>
      <c r="C57" s="15"/>
      <c r="D57" s="14"/>
      <c r="E57" s="53"/>
      <c r="F57" s="16"/>
    </row>
    <row r="58" spans="1:6" ht="15" customHeight="1" x14ac:dyDescent="0.2">
      <c r="A58" s="178" t="s">
        <v>88</v>
      </c>
      <c r="B58" s="61" t="s">
        <v>89</v>
      </c>
      <c r="C58" s="15">
        <v>0</v>
      </c>
      <c r="D58" s="14" t="s">
        <v>14</v>
      </c>
      <c r="E58" s="53">
        <v>3800</v>
      </c>
      <c r="F58" s="16">
        <f t="shared" ref="F58" si="8">E58*C58</f>
        <v>0</v>
      </c>
    </row>
    <row r="59" spans="1:6" ht="15" customHeight="1" x14ac:dyDescent="0.2">
      <c r="A59" s="177">
        <v>4.5999999999999996</v>
      </c>
      <c r="B59" s="127" t="s">
        <v>90</v>
      </c>
      <c r="C59" s="15">
        <f>C33+C35</f>
        <v>578</v>
      </c>
      <c r="D59" s="128" t="s">
        <v>51</v>
      </c>
      <c r="E59" s="53">
        <v>25</v>
      </c>
      <c r="F59" s="16">
        <f t="shared" si="7"/>
        <v>14450</v>
      </c>
    </row>
    <row r="60" spans="1:6" ht="15" customHeight="1" x14ac:dyDescent="0.2">
      <c r="A60" s="177">
        <v>4.7</v>
      </c>
      <c r="B60" s="127" t="s">
        <v>91</v>
      </c>
      <c r="C60" s="15">
        <v>4</v>
      </c>
      <c r="D60" s="128" t="s">
        <v>92</v>
      </c>
      <c r="E60" s="53">
        <v>400</v>
      </c>
      <c r="F60" s="16">
        <f t="shared" si="7"/>
        <v>1600</v>
      </c>
    </row>
    <row r="61" spans="1:6" ht="15" customHeight="1" x14ac:dyDescent="0.25">
      <c r="A61" s="165">
        <v>5</v>
      </c>
      <c r="B61" s="70" t="s">
        <v>93</v>
      </c>
      <c r="C61" s="71"/>
      <c r="D61" s="72"/>
      <c r="E61" s="73"/>
      <c r="F61" s="74">
        <f>SUM(F62:F63)</f>
        <v>0</v>
      </c>
    </row>
    <row r="62" spans="1:6" ht="15" customHeight="1" x14ac:dyDescent="0.2">
      <c r="A62" s="177">
        <v>5.0999999999999996</v>
      </c>
      <c r="B62" s="61" t="s">
        <v>94</v>
      </c>
      <c r="C62" s="167">
        <v>0</v>
      </c>
      <c r="D62" s="14" t="s">
        <v>14</v>
      </c>
      <c r="E62" s="53">
        <v>280000</v>
      </c>
      <c r="F62" s="16">
        <f t="shared" si="7"/>
        <v>0</v>
      </c>
    </row>
    <row r="63" spans="1:6" ht="15" customHeight="1" x14ac:dyDescent="0.2">
      <c r="A63" s="177">
        <v>5.2</v>
      </c>
      <c r="B63" s="61" t="s">
        <v>95</v>
      </c>
      <c r="C63" s="167">
        <v>0</v>
      </c>
      <c r="D63" s="14" t="s">
        <v>14</v>
      </c>
      <c r="E63" s="53"/>
      <c r="F63" s="16">
        <f t="shared" si="7"/>
        <v>0</v>
      </c>
    </row>
    <row r="64" spans="1:6" ht="15" customHeight="1" x14ac:dyDescent="0.25">
      <c r="A64" s="165">
        <v>6</v>
      </c>
      <c r="B64" s="70" t="s">
        <v>96</v>
      </c>
      <c r="C64" s="71"/>
      <c r="D64" s="72"/>
      <c r="E64" s="79"/>
      <c r="F64" s="74">
        <f>SUM(F65:F67)</f>
        <v>6391.5</v>
      </c>
    </row>
    <row r="65" spans="1:6" ht="15" customHeight="1" x14ac:dyDescent="0.2">
      <c r="A65" s="177">
        <v>6.1</v>
      </c>
      <c r="B65" s="61" t="s">
        <v>97</v>
      </c>
      <c r="C65" s="15">
        <v>28</v>
      </c>
      <c r="D65" s="14" t="s">
        <v>14</v>
      </c>
      <c r="E65" s="53">
        <v>50</v>
      </c>
      <c r="F65" s="16">
        <f t="shared" ref="F65:F71" si="9">E65*C65</f>
        <v>1400</v>
      </c>
    </row>
    <row r="66" spans="1:6" ht="15" customHeight="1" x14ac:dyDescent="0.2">
      <c r="A66" s="177">
        <v>6.2</v>
      </c>
      <c r="B66" s="61" t="s">
        <v>98</v>
      </c>
      <c r="C66" s="15">
        <v>0</v>
      </c>
      <c r="D66" s="14" t="s">
        <v>11</v>
      </c>
      <c r="E66" s="53">
        <v>60</v>
      </c>
      <c r="F66" s="16">
        <f t="shared" si="9"/>
        <v>0</v>
      </c>
    </row>
    <row r="67" spans="1:6" ht="15" customHeight="1" x14ac:dyDescent="0.2">
      <c r="A67" s="177">
        <v>6.3</v>
      </c>
      <c r="B67" s="61" t="s">
        <v>99</v>
      </c>
      <c r="C67" s="15">
        <f>298*6.7</f>
        <v>1996.6000000000001</v>
      </c>
      <c r="D67" s="14" t="s">
        <v>11</v>
      </c>
      <c r="E67" s="53">
        <v>2.5</v>
      </c>
      <c r="F67" s="16">
        <f t="shared" si="9"/>
        <v>4991.5</v>
      </c>
    </row>
    <row r="68" spans="1:6" ht="15" customHeight="1" x14ac:dyDescent="0.25">
      <c r="A68" s="165">
        <v>7</v>
      </c>
      <c r="B68" s="70" t="s">
        <v>100</v>
      </c>
      <c r="C68" s="71"/>
      <c r="D68" s="72"/>
      <c r="E68" s="73"/>
      <c r="F68" s="74">
        <f>SUM(F69:F72)</f>
        <v>53176</v>
      </c>
    </row>
    <row r="69" spans="1:6" ht="15" customHeight="1" x14ac:dyDescent="0.2">
      <c r="A69" s="177">
        <v>7.1</v>
      </c>
      <c r="B69" s="61" t="s">
        <v>101</v>
      </c>
      <c r="C69" s="15">
        <v>0</v>
      </c>
      <c r="D69" s="14" t="s">
        <v>14</v>
      </c>
      <c r="E69" s="53">
        <v>100000</v>
      </c>
      <c r="F69" s="16">
        <f t="shared" si="9"/>
        <v>0</v>
      </c>
    </row>
    <row r="70" spans="1:6" ht="15" customHeight="1" x14ac:dyDescent="0.2">
      <c r="A70" s="177">
        <v>7.2</v>
      </c>
      <c r="B70" s="61" t="s">
        <v>102</v>
      </c>
      <c r="C70" s="15">
        <v>0</v>
      </c>
      <c r="D70" s="14" t="s">
        <v>14</v>
      </c>
      <c r="E70" s="53">
        <v>80000</v>
      </c>
      <c r="F70" s="16">
        <f t="shared" si="9"/>
        <v>0</v>
      </c>
    </row>
    <row r="71" spans="1:6" ht="15" customHeight="1" x14ac:dyDescent="0.2">
      <c r="A71" s="177">
        <v>7.3</v>
      </c>
      <c r="B71" s="61" t="s">
        <v>103</v>
      </c>
      <c r="C71" s="15">
        <v>289</v>
      </c>
      <c r="D71" s="14" t="s">
        <v>51</v>
      </c>
      <c r="E71" s="53">
        <v>160</v>
      </c>
      <c r="F71" s="16">
        <f t="shared" si="9"/>
        <v>46240</v>
      </c>
    </row>
    <row r="72" spans="1:6" ht="15" customHeight="1" x14ac:dyDescent="0.2">
      <c r="A72" s="177">
        <v>7.4</v>
      </c>
      <c r="B72" s="61" t="s">
        <v>104</v>
      </c>
      <c r="C72" s="15">
        <v>15</v>
      </c>
      <c r="D72" s="14" t="s">
        <v>105</v>
      </c>
      <c r="E72" s="53">
        <f>SUM(F69:F71)</f>
        <v>46240</v>
      </c>
      <c r="F72" s="16">
        <f>E72*C72/100</f>
        <v>6936</v>
      </c>
    </row>
    <row r="73" spans="1:6" ht="15" customHeight="1" x14ac:dyDescent="0.25">
      <c r="A73" s="165">
        <v>8</v>
      </c>
      <c r="B73" s="70" t="s">
        <v>106</v>
      </c>
      <c r="C73" s="71"/>
      <c r="D73" s="72"/>
      <c r="E73" s="73"/>
      <c r="F73" s="74">
        <f>SUM(F74:F79)</f>
        <v>18518.050900000002</v>
      </c>
    </row>
    <row r="74" spans="1:6" ht="15" customHeight="1" x14ac:dyDescent="0.2">
      <c r="A74" s="177">
        <v>8.1</v>
      </c>
      <c r="B74" s="61" t="s">
        <v>107</v>
      </c>
      <c r="C74" s="15">
        <v>1</v>
      </c>
      <c r="D74" s="14" t="s">
        <v>14</v>
      </c>
      <c r="E74" s="53">
        <v>3000</v>
      </c>
      <c r="F74" s="16">
        <f t="shared" ref="F74:F76" si="10">C74*E74</f>
        <v>3000</v>
      </c>
    </row>
    <row r="75" spans="1:6" ht="15" customHeight="1" x14ac:dyDescent="0.2">
      <c r="A75" s="177">
        <v>8.1999999999999993</v>
      </c>
      <c r="B75" s="61" t="s">
        <v>108</v>
      </c>
      <c r="C75" s="15">
        <v>0</v>
      </c>
      <c r="D75" s="14" t="s">
        <v>14</v>
      </c>
      <c r="E75" s="53">
        <v>280</v>
      </c>
      <c r="F75" s="16">
        <f t="shared" si="10"/>
        <v>0</v>
      </c>
    </row>
    <row r="76" spans="1:6" ht="15" customHeight="1" x14ac:dyDescent="0.2">
      <c r="A76" s="177">
        <v>8.3000000000000007</v>
      </c>
      <c r="B76" s="61" t="s">
        <v>109</v>
      </c>
      <c r="C76" s="15">
        <v>1</v>
      </c>
      <c r="D76" s="14" t="s">
        <v>14</v>
      </c>
      <c r="E76" s="53">
        <f>0.015*(F46+F31+F12)</f>
        <v>9241.7259000000013</v>
      </c>
      <c r="F76" s="16">
        <f t="shared" si="10"/>
        <v>9241.7259000000013</v>
      </c>
    </row>
    <row r="77" spans="1:6" ht="15" customHeight="1" x14ac:dyDescent="0.2">
      <c r="A77" s="177">
        <v>8.4</v>
      </c>
      <c r="B77" s="61" t="s">
        <v>110</v>
      </c>
      <c r="C77" s="15">
        <v>1</v>
      </c>
      <c r="D77" s="14" t="s">
        <v>14</v>
      </c>
      <c r="E77" s="53">
        <f>0.15*F64</f>
        <v>958.72499999999991</v>
      </c>
      <c r="F77" s="16">
        <f>C77*E77</f>
        <v>958.72499999999991</v>
      </c>
    </row>
    <row r="78" spans="1:6" ht="15" customHeight="1" x14ac:dyDescent="0.2">
      <c r="A78" s="177">
        <v>8.5</v>
      </c>
      <c r="B78" s="61" t="s">
        <v>111</v>
      </c>
      <c r="C78" s="15">
        <v>10</v>
      </c>
      <c r="D78" s="14" t="s">
        <v>112</v>
      </c>
      <c r="E78" s="53">
        <f>F62*0.015</f>
        <v>0</v>
      </c>
      <c r="F78" s="16">
        <f>C78*E78</f>
        <v>0</v>
      </c>
    </row>
    <row r="79" spans="1:6" ht="15" customHeight="1" x14ac:dyDescent="0.2">
      <c r="A79" s="177">
        <v>8.6</v>
      </c>
      <c r="B79" s="61" t="s">
        <v>113</v>
      </c>
      <c r="C79" s="15">
        <v>1</v>
      </c>
      <c r="D79" s="14" t="s">
        <v>14</v>
      </c>
      <c r="E79" s="53">
        <f>0.1*F68</f>
        <v>5317.6</v>
      </c>
      <c r="F79" s="16">
        <f>C79*E79</f>
        <v>5317.6</v>
      </c>
    </row>
    <row r="80" spans="1:6" ht="15" customHeight="1" x14ac:dyDescent="0.25">
      <c r="A80" s="165">
        <v>9</v>
      </c>
      <c r="B80" s="70" t="s">
        <v>114</v>
      </c>
      <c r="C80" s="71"/>
      <c r="D80" s="72"/>
      <c r="E80" s="73"/>
      <c r="F80" s="74">
        <f>SUM(F81:F83)</f>
        <v>20000</v>
      </c>
    </row>
    <row r="81" spans="1:6" ht="15" customHeight="1" x14ac:dyDescent="0.2">
      <c r="A81" s="177">
        <v>9.1</v>
      </c>
      <c r="B81" s="61" t="s">
        <v>141</v>
      </c>
      <c r="C81" s="15">
        <v>1</v>
      </c>
      <c r="D81" s="14" t="s">
        <v>14</v>
      </c>
      <c r="E81" s="53">
        <v>20000</v>
      </c>
      <c r="F81" s="16">
        <f t="shared" ref="F81" si="11">C81*E81</f>
        <v>20000</v>
      </c>
    </row>
    <row r="82" spans="1:6" ht="15" customHeight="1" x14ac:dyDescent="0.2">
      <c r="A82" s="177"/>
      <c r="B82" s="61"/>
      <c r="C82" s="15"/>
      <c r="D82" s="14"/>
      <c r="E82" s="53"/>
      <c r="F82" s="16"/>
    </row>
    <row r="83" spans="1:6" ht="15" customHeight="1" x14ac:dyDescent="0.2">
      <c r="A83" s="177"/>
      <c r="B83" s="61"/>
      <c r="C83" s="15"/>
      <c r="D83" s="14"/>
      <c r="E83" s="53"/>
      <c r="F83" s="16"/>
    </row>
    <row r="84" spans="1:6" ht="15" customHeight="1" x14ac:dyDescent="0.25">
      <c r="A84" s="92"/>
      <c r="B84" s="160" t="s">
        <v>115</v>
      </c>
      <c r="C84" s="75"/>
      <c r="D84" s="76"/>
      <c r="E84" s="83"/>
      <c r="F84" s="181">
        <f>SUM(F5,F12,F31,F46,F61,F64,F68,F73,F80)</f>
        <v>835936.23300000001</v>
      </c>
    </row>
    <row r="85" spans="1:6" ht="15" customHeight="1" x14ac:dyDescent="0.25">
      <c r="A85" s="165">
        <v>10</v>
      </c>
      <c r="B85" s="70" t="s">
        <v>116</v>
      </c>
      <c r="C85" s="71"/>
      <c r="D85" s="72"/>
      <c r="E85" s="73"/>
      <c r="F85" s="74"/>
    </row>
    <row r="86" spans="1:6" ht="15" customHeight="1" x14ac:dyDescent="0.2">
      <c r="A86" s="177">
        <v>10.1</v>
      </c>
      <c r="B86" s="61" t="s">
        <v>117</v>
      </c>
      <c r="C86" s="166">
        <v>3.25</v>
      </c>
      <c r="D86" s="14" t="s">
        <v>105</v>
      </c>
      <c r="E86" s="175"/>
      <c r="F86" s="176">
        <f>C86%*F$84</f>
        <v>27167.927572500001</v>
      </c>
    </row>
    <row r="87" spans="1:6" ht="15" customHeight="1" x14ac:dyDescent="0.2">
      <c r="A87" s="177">
        <v>10.199999999999999</v>
      </c>
      <c r="B87" s="61" t="s">
        <v>118</v>
      </c>
      <c r="C87" s="166">
        <v>1</v>
      </c>
      <c r="D87" s="14" t="s">
        <v>105</v>
      </c>
      <c r="E87" s="175"/>
      <c r="F87" s="176">
        <f t="shared" ref="F87:F93" si="12">C87%*F$84</f>
        <v>8359.3623299999999</v>
      </c>
    </row>
    <row r="88" spans="1:6" ht="15" customHeight="1" x14ac:dyDescent="0.2">
      <c r="A88" s="177">
        <v>10.3</v>
      </c>
      <c r="B88" s="61" t="s">
        <v>119</v>
      </c>
      <c r="C88" s="166">
        <v>5</v>
      </c>
      <c r="D88" s="14" t="s">
        <v>105</v>
      </c>
      <c r="E88" s="175"/>
      <c r="F88" s="176">
        <f t="shared" si="12"/>
        <v>41796.811650000003</v>
      </c>
    </row>
    <row r="89" spans="1:6" ht="15" customHeight="1" x14ac:dyDescent="0.2">
      <c r="A89" s="177">
        <v>10.4</v>
      </c>
      <c r="B89" s="61" t="s">
        <v>120</v>
      </c>
      <c r="C89" s="166">
        <v>0.5</v>
      </c>
      <c r="D89" s="14" t="s">
        <v>105</v>
      </c>
      <c r="E89" s="175"/>
      <c r="F89" s="176">
        <f t="shared" si="12"/>
        <v>4179.681165</v>
      </c>
    </row>
    <row r="90" spans="1:6" ht="15" customHeight="1" x14ac:dyDescent="0.2">
      <c r="A90" s="177">
        <v>10.5</v>
      </c>
      <c r="B90" s="61" t="s">
        <v>121</v>
      </c>
      <c r="C90" s="166">
        <v>5</v>
      </c>
      <c r="D90" s="14" t="s">
        <v>105</v>
      </c>
      <c r="E90" s="175"/>
      <c r="F90" s="176">
        <f t="shared" si="12"/>
        <v>41796.811650000003</v>
      </c>
    </row>
    <row r="91" spans="1:6" ht="15" customHeight="1" x14ac:dyDescent="0.2">
      <c r="A91" s="177">
        <v>10.6</v>
      </c>
      <c r="B91" s="61" t="s">
        <v>122</v>
      </c>
      <c r="C91" s="166">
        <v>9</v>
      </c>
      <c r="D91" s="14" t="s">
        <v>105</v>
      </c>
      <c r="E91" s="175"/>
      <c r="F91" s="176">
        <f t="shared" si="12"/>
        <v>75234.260970000003</v>
      </c>
    </row>
    <row r="92" spans="1:6" ht="15" customHeight="1" x14ac:dyDescent="0.2">
      <c r="A92" s="177">
        <v>10.7</v>
      </c>
      <c r="B92" s="61" t="s">
        <v>123</v>
      </c>
      <c r="C92" s="166">
        <v>2.5</v>
      </c>
      <c r="D92" s="14" t="s">
        <v>105</v>
      </c>
      <c r="E92" s="175"/>
      <c r="F92" s="176">
        <f t="shared" si="12"/>
        <v>20898.405825000002</v>
      </c>
    </row>
    <row r="93" spans="1:6" ht="15" customHeight="1" x14ac:dyDescent="0.2">
      <c r="A93" s="177">
        <v>10.8</v>
      </c>
      <c r="B93" s="61" t="s">
        <v>124</v>
      </c>
      <c r="C93" s="166">
        <v>15</v>
      </c>
      <c r="D93" s="14" t="s">
        <v>105</v>
      </c>
      <c r="E93" s="175"/>
      <c r="F93" s="176">
        <f t="shared" si="12"/>
        <v>125390.43495</v>
      </c>
    </row>
    <row r="94" spans="1:6" ht="15" customHeight="1" x14ac:dyDescent="0.25">
      <c r="A94" s="92"/>
      <c r="B94" s="160" t="s">
        <v>125</v>
      </c>
      <c r="C94" s="75"/>
      <c r="D94" s="76"/>
      <c r="E94" s="83"/>
      <c r="F94" s="181">
        <f>SUM(F84:F93)</f>
        <v>1180759.9291125</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0000"/>
  </sheetPr>
  <dimension ref="A1:J94"/>
  <sheetViews>
    <sheetView workbookViewId="0">
      <selection activeCell="J6" sqref="J6"/>
    </sheetView>
  </sheetViews>
  <sheetFormatPr defaultColWidth="9.140625" defaultRowHeight="15" customHeight="1" x14ac:dyDescent="0.2"/>
  <cols>
    <col min="1" max="1" width="12.7109375" style="162" customWidth="1"/>
    <col min="2" max="2" width="50.7109375" style="162" customWidth="1"/>
    <col min="3" max="4" width="12.7109375" style="162" customWidth="1"/>
    <col min="5" max="6" width="15.7109375" style="162" customWidth="1"/>
    <col min="7" max="9" width="9.140625" style="162"/>
    <col min="10" max="10" width="11.42578125" style="162" bestFit="1" customWidth="1"/>
    <col min="11" max="16384" width="9.140625" style="162"/>
  </cols>
  <sheetData>
    <row r="1" spans="1:10" ht="15" customHeight="1" x14ac:dyDescent="0.25">
      <c r="A1" s="1" t="s">
        <v>0</v>
      </c>
      <c r="F1" s="161">
        <v>43544</v>
      </c>
    </row>
    <row r="2" spans="1:10" ht="15" customHeight="1" x14ac:dyDescent="0.25">
      <c r="A2" s="1" t="s">
        <v>140</v>
      </c>
    </row>
    <row r="4" spans="1:10" ht="30" x14ac:dyDescent="0.2">
      <c r="A4" s="182" t="s">
        <v>2</v>
      </c>
      <c r="B4" s="182" t="s">
        <v>3</v>
      </c>
      <c r="C4" s="182" t="s">
        <v>4</v>
      </c>
      <c r="D4" s="182" t="s">
        <v>5</v>
      </c>
      <c r="E4" s="183" t="s">
        <v>6</v>
      </c>
      <c r="F4" s="183" t="s">
        <v>7</v>
      </c>
    </row>
    <row r="5" spans="1:10" ht="15" customHeight="1" x14ac:dyDescent="0.25">
      <c r="A5" s="165">
        <v>1</v>
      </c>
      <c r="B5" s="70" t="s">
        <v>8</v>
      </c>
      <c r="C5" s="71"/>
      <c r="D5" s="72"/>
      <c r="E5" s="79"/>
      <c r="F5" s="74">
        <f>SUM(F6:F11)</f>
        <v>132524.94200000001</v>
      </c>
      <c r="I5" s="185" t="s">
        <v>142</v>
      </c>
      <c r="J5" s="185"/>
    </row>
    <row r="6" spans="1:10" ht="15" customHeight="1" x14ac:dyDescent="0.2">
      <c r="A6" s="177">
        <v>1.1000000000000001</v>
      </c>
      <c r="B6" s="127" t="s">
        <v>9</v>
      </c>
      <c r="C6" s="167">
        <f>C7</f>
        <v>3572.8</v>
      </c>
      <c r="D6" s="173" t="s">
        <v>11</v>
      </c>
      <c r="E6" s="174">
        <v>5</v>
      </c>
      <c r="F6" s="170">
        <f t="shared" ref="F6:F11" si="0">C6*E6</f>
        <v>17864</v>
      </c>
      <c r="I6" s="185"/>
      <c r="J6" s="186">
        <f>F94+'2712_3'!F94</f>
        <v>2752328.9132375</v>
      </c>
    </row>
    <row r="7" spans="1:10" ht="15" customHeight="1" x14ac:dyDescent="0.2">
      <c r="A7" s="177">
        <v>1.2</v>
      </c>
      <c r="B7" s="127" t="s">
        <v>12</v>
      </c>
      <c r="C7" s="167">
        <f>ROUNDUP(C33/2*5,0)+C43+C40+(C14+C20+C26)*0.2</f>
        <v>3572.8</v>
      </c>
      <c r="D7" s="173" t="s">
        <v>11</v>
      </c>
      <c r="E7" s="174">
        <v>7</v>
      </c>
      <c r="F7" s="170">
        <f t="shared" si="0"/>
        <v>25009.600000000002</v>
      </c>
      <c r="I7" s="185"/>
      <c r="J7" s="185"/>
    </row>
    <row r="8" spans="1:10" ht="15" customHeight="1" x14ac:dyDescent="0.2">
      <c r="A8" s="177">
        <v>1.3</v>
      </c>
      <c r="B8" s="127" t="s">
        <v>13</v>
      </c>
      <c r="C8" s="167">
        <v>1</v>
      </c>
      <c r="D8" s="173" t="s">
        <v>14</v>
      </c>
      <c r="E8" s="174">
        <v>2000</v>
      </c>
      <c r="F8" s="170">
        <f t="shared" si="0"/>
        <v>2000</v>
      </c>
    </row>
    <row r="9" spans="1:10" ht="15" customHeight="1" x14ac:dyDescent="0.2">
      <c r="A9" s="177">
        <v>1.4</v>
      </c>
      <c r="B9" s="127" t="s">
        <v>15</v>
      </c>
      <c r="C9" s="167">
        <v>1</v>
      </c>
      <c r="D9" s="173" t="s">
        <v>14</v>
      </c>
      <c r="E9" s="174">
        <v>8000</v>
      </c>
      <c r="F9" s="170">
        <f t="shared" si="0"/>
        <v>8000</v>
      </c>
    </row>
    <row r="10" spans="1:10" ht="15" customHeight="1" x14ac:dyDescent="0.2">
      <c r="A10" s="177">
        <v>1.5</v>
      </c>
      <c r="B10" s="127" t="s">
        <v>16</v>
      </c>
      <c r="C10" s="167">
        <f>(C16*0.4+C37*0.25+C43*0.175+C17*0.3)*0.6</f>
        <v>1200.7740000000001</v>
      </c>
      <c r="D10" s="173" t="s">
        <v>17</v>
      </c>
      <c r="E10" s="174">
        <v>45</v>
      </c>
      <c r="F10" s="170">
        <f t="shared" si="0"/>
        <v>54034.83</v>
      </c>
    </row>
    <row r="11" spans="1:10" ht="15" customHeight="1" x14ac:dyDescent="0.2">
      <c r="A11" s="177">
        <v>1.6</v>
      </c>
      <c r="B11" s="127" t="s">
        <v>18</v>
      </c>
      <c r="C11" s="167">
        <f>(C16*0.4+C37*0.25+C43*0.175+C17*0.3)*0.4</f>
        <v>800.51600000000008</v>
      </c>
      <c r="D11" s="173" t="s">
        <v>17</v>
      </c>
      <c r="E11" s="174">
        <v>32</v>
      </c>
      <c r="F11" s="170">
        <f t="shared" si="0"/>
        <v>25616.512000000002</v>
      </c>
    </row>
    <row r="12" spans="1:10" ht="15" customHeight="1" x14ac:dyDescent="0.25">
      <c r="A12" s="165">
        <v>2</v>
      </c>
      <c r="B12" s="70" t="s">
        <v>19</v>
      </c>
      <c r="C12" s="71"/>
      <c r="D12" s="72"/>
      <c r="E12" s="79"/>
      <c r="F12" s="74">
        <f>SUM(F14:F30)</f>
        <v>458861.2</v>
      </c>
    </row>
    <row r="13" spans="1:10" ht="15" customHeight="1" x14ac:dyDescent="0.25">
      <c r="A13" s="163">
        <v>2.1</v>
      </c>
      <c r="B13" s="62" t="s">
        <v>20</v>
      </c>
      <c r="C13" s="167"/>
      <c r="D13" s="168"/>
      <c r="E13" s="172"/>
      <c r="F13" s="170"/>
    </row>
    <row r="14" spans="1:10" ht="15" customHeight="1" x14ac:dyDescent="0.2">
      <c r="A14" s="164" t="s">
        <v>21</v>
      </c>
      <c r="B14" s="127" t="s">
        <v>22</v>
      </c>
      <c r="C14" s="167">
        <f>290*11.6</f>
        <v>3364</v>
      </c>
      <c r="D14" s="173" t="s">
        <v>11</v>
      </c>
      <c r="E14" s="174">
        <v>27</v>
      </c>
      <c r="F14" s="170">
        <f t="shared" ref="F14:F18" si="1">C14*E14</f>
        <v>90828</v>
      </c>
    </row>
    <row r="15" spans="1:10" ht="15" customHeight="1" x14ac:dyDescent="0.2">
      <c r="A15" s="164" t="s">
        <v>23</v>
      </c>
      <c r="B15" s="127" t="s">
        <v>24</v>
      </c>
      <c r="C15" s="167">
        <f>C14</f>
        <v>3364</v>
      </c>
      <c r="D15" s="173" t="s">
        <v>11</v>
      </c>
      <c r="E15" s="174">
        <f>ROUNDUP(32*100/75,0)</f>
        <v>43</v>
      </c>
      <c r="F15" s="170">
        <f t="shared" si="1"/>
        <v>144652</v>
      </c>
    </row>
    <row r="16" spans="1:10" ht="15" customHeight="1" x14ac:dyDescent="0.2">
      <c r="A16" s="164" t="s">
        <v>25</v>
      </c>
      <c r="B16" s="127" t="s">
        <v>26</v>
      </c>
      <c r="C16" s="167">
        <f>C15+(C35*0.45)+(C33*0.75)</f>
        <v>3799</v>
      </c>
      <c r="D16" s="173" t="s">
        <v>11</v>
      </c>
      <c r="E16" s="174">
        <f>ROUNDUP(18*260/110,0)</f>
        <v>43</v>
      </c>
      <c r="F16" s="170">
        <f t="shared" si="1"/>
        <v>163357</v>
      </c>
    </row>
    <row r="17" spans="1:6" ht="15" customHeight="1" x14ac:dyDescent="0.2">
      <c r="A17" s="164" t="s">
        <v>27</v>
      </c>
      <c r="B17" s="127" t="s">
        <v>28</v>
      </c>
      <c r="C17" s="167">
        <f>C16*0.2</f>
        <v>759.80000000000007</v>
      </c>
      <c r="D17" s="173" t="s">
        <v>11</v>
      </c>
      <c r="E17" s="174">
        <v>24</v>
      </c>
      <c r="F17" s="170">
        <f t="shared" si="1"/>
        <v>18235.2</v>
      </c>
    </row>
    <row r="18" spans="1:6" ht="15" customHeight="1" x14ac:dyDescent="0.2">
      <c r="A18" s="164" t="s">
        <v>29</v>
      </c>
      <c r="B18" s="127" t="s">
        <v>30</v>
      </c>
      <c r="C18" s="167">
        <f>C16*0.1</f>
        <v>379.90000000000003</v>
      </c>
      <c r="D18" s="173" t="s">
        <v>11</v>
      </c>
      <c r="E18" s="174">
        <v>110</v>
      </c>
      <c r="F18" s="170">
        <f t="shared" si="1"/>
        <v>41789.000000000007</v>
      </c>
    </row>
    <row r="19" spans="1:6" ht="15" customHeight="1" x14ac:dyDescent="0.25">
      <c r="A19" s="163">
        <v>2.2000000000000002</v>
      </c>
      <c r="B19" s="62" t="s">
        <v>31</v>
      </c>
      <c r="C19" s="167"/>
      <c r="D19" s="168"/>
      <c r="E19" s="172"/>
      <c r="F19" s="170"/>
    </row>
    <row r="20" spans="1:6" ht="15" customHeight="1" x14ac:dyDescent="0.2">
      <c r="A20" s="164" t="s">
        <v>32</v>
      </c>
      <c r="B20" s="127" t="s">
        <v>22</v>
      </c>
      <c r="C20" s="167">
        <v>0</v>
      </c>
      <c r="D20" s="173" t="s">
        <v>11</v>
      </c>
      <c r="E20" s="174">
        <v>27</v>
      </c>
      <c r="F20" s="170">
        <f t="shared" ref="F20:F24" si="2">C20*E20</f>
        <v>0</v>
      </c>
    </row>
    <row r="21" spans="1:6" ht="15" customHeight="1" x14ac:dyDescent="0.2">
      <c r="A21" s="164" t="s">
        <v>33</v>
      </c>
      <c r="B21" s="127" t="s">
        <v>34</v>
      </c>
      <c r="C21" s="167">
        <f>C20</f>
        <v>0</v>
      </c>
      <c r="D21" s="173" t="s">
        <v>11</v>
      </c>
      <c r="E21" s="174">
        <f>ROUNDUP(32*150/75,0)</f>
        <v>64</v>
      </c>
      <c r="F21" s="170">
        <f t="shared" si="2"/>
        <v>0</v>
      </c>
    </row>
    <row r="22" spans="1:6" ht="15" customHeight="1" x14ac:dyDescent="0.2">
      <c r="A22" s="164" t="s">
        <v>35</v>
      </c>
      <c r="B22" s="127" t="s">
        <v>36</v>
      </c>
      <c r="C22" s="167">
        <v>0</v>
      </c>
      <c r="D22" s="173" t="s">
        <v>11</v>
      </c>
      <c r="E22" s="174">
        <f>ROUNDUP(18*300/110,0)</f>
        <v>50</v>
      </c>
      <c r="F22" s="170">
        <f t="shared" si="2"/>
        <v>0</v>
      </c>
    </row>
    <row r="23" spans="1:6" ht="15" customHeight="1" x14ac:dyDescent="0.2">
      <c r="A23" s="164" t="s">
        <v>37</v>
      </c>
      <c r="B23" s="127" t="s">
        <v>28</v>
      </c>
      <c r="C23" s="167">
        <f>C22*0.2</f>
        <v>0</v>
      </c>
      <c r="D23" s="173" t="s">
        <v>11</v>
      </c>
      <c r="E23" s="174">
        <v>24</v>
      </c>
      <c r="F23" s="170">
        <f t="shared" si="2"/>
        <v>0</v>
      </c>
    </row>
    <row r="24" spans="1:6" ht="15" customHeight="1" x14ac:dyDescent="0.2">
      <c r="A24" s="164" t="s">
        <v>38</v>
      </c>
      <c r="B24" s="127" t="s">
        <v>30</v>
      </c>
      <c r="C24" s="167">
        <f>C22*0.1</f>
        <v>0</v>
      </c>
      <c r="D24" s="173" t="s">
        <v>11</v>
      </c>
      <c r="E24" s="174">
        <v>110</v>
      </c>
      <c r="F24" s="170">
        <f t="shared" si="2"/>
        <v>0</v>
      </c>
    </row>
    <row r="25" spans="1:6" ht="15" customHeight="1" x14ac:dyDescent="0.25">
      <c r="A25" s="163">
        <v>2.2999999999999998</v>
      </c>
      <c r="B25" s="62" t="s">
        <v>39</v>
      </c>
      <c r="C25" s="167"/>
      <c r="D25" s="179"/>
      <c r="E25" s="179"/>
      <c r="F25" s="180"/>
    </row>
    <row r="26" spans="1:6" ht="15" customHeight="1" x14ac:dyDescent="0.2">
      <c r="A26" s="164" t="s">
        <v>40</v>
      </c>
      <c r="B26" s="127" t="s">
        <v>41</v>
      </c>
      <c r="C26" s="167">
        <v>0</v>
      </c>
      <c r="D26" s="173" t="s">
        <v>11</v>
      </c>
      <c r="E26" s="174">
        <f>ROUNDUP(E14*0.85,0)</f>
        <v>23</v>
      </c>
      <c r="F26" s="170">
        <f t="shared" ref="F26:F30" si="3">C26*E26</f>
        <v>0</v>
      </c>
    </row>
    <row r="27" spans="1:6" ht="15" customHeight="1" x14ac:dyDescent="0.2">
      <c r="A27" s="164" t="s">
        <v>42</v>
      </c>
      <c r="B27" s="127" t="s">
        <v>24</v>
      </c>
      <c r="C27" s="167">
        <f>C26</f>
        <v>0</v>
      </c>
      <c r="D27" s="173" t="s">
        <v>11</v>
      </c>
      <c r="E27" s="174">
        <f>E15</f>
        <v>43</v>
      </c>
      <c r="F27" s="170">
        <f t="shared" si="3"/>
        <v>0</v>
      </c>
    </row>
    <row r="28" spans="1:6" ht="15" customHeight="1" x14ac:dyDescent="0.2">
      <c r="A28" s="164" t="s">
        <v>43</v>
      </c>
      <c r="B28" s="127" t="s">
        <v>44</v>
      </c>
      <c r="C28" s="167">
        <v>0</v>
      </c>
      <c r="D28" s="173" t="s">
        <v>11</v>
      </c>
      <c r="E28" s="174">
        <f>E16</f>
        <v>43</v>
      </c>
      <c r="F28" s="170">
        <f t="shared" si="3"/>
        <v>0</v>
      </c>
    </row>
    <row r="29" spans="1:6" ht="15" customHeight="1" x14ac:dyDescent="0.2">
      <c r="A29" s="164" t="s">
        <v>45</v>
      </c>
      <c r="B29" s="127" t="s">
        <v>28</v>
      </c>
      <c r="C29" s="167">
        <f>C28*0.2</f>
        <v>0</v>
      </c>
      <c r="D29" s="173" t="s">
        <v>11</v>
      </c>
      <c r="E29" s="174">
        <f>E17</f>
        <v>24</v>
      </c>
      <c r="F29" s="170">
        <f t="shared" si="3"/>
        <v>0</v>
      </c>
    </row>
    <row r="30" spans="1:6" ht="15" customHeight="1" x14ac:dyDescent="0.2">
      <c r="A30" s="164" t="s">
        <v>46</v>
      </c>
      <c r="B30" s="127" t="s">
        <v>30</v>
      </c>
      <c r="C30" s="167">
        <f>C28*0.1</f>
        <v>0</v>
      </c>
      <c r="D30" s="173" t="s">
        <v>11</v>
      </c>
      <c r="E30" s="174">
        <f>E18</f>
        <v>110</v>
      </c>
      <c r="F30" s="170">
        <f t="shared" si="3"/>
        <v>0</v>
      </c>
    </row>
    <row r="31" spans="1:6" x14ac:dyDescent="0.25">
      <c r="A31" s="165">
        <v>3</v>
      </c>
      <c r="B31" s="70" t="s">
        <v>47</v>
      </c>
      <c r="C31" s="71"/>
      <c r="D31" s="72"/>
      <c r="E31" s="79"/>
      <c r="F31" s="74">
        <f>SUM(F33:F45)</f>
        <v>163270</v>
      </c>
    </row>
    <row r="32" spans="1:6" ht="15" customHeight="1" x14ac:dyDescent="0.25">
      <c r="A32" s="177">
        <v>3.1</v>
      </c>
      <c r="B32" s="62" t="s">
        <v>48</v>
      </c>
      <c r="C32" s="15"/>
      <c r="D32" s="14"/>
      <c r="E32" s="53"/>
      <c r="F32" s="16"/>
    </row>
    <row r="33" spans="1:6" ht="15" customHeight="1" x14ac:dyDescent="0.2">
      <c r="A33" s="178" t="s">
        <v>49</v>
      </c>
      <c r="B33" s="61" t="s">
        <v>50</v>
      </c>
      <c r="C33" s="167">
        <v>580</v>
      </c>
      <c r="D33" s="168" t="s">
        <v>51</v>
      </c>
      <c r="E33" s="169">
        <v>64</v>
      </c>
      <c r="F33" s="170">
        <f t="shared" ref="F33:F35" si="4">SUM(E33*C33)</f>
        <v>37120</v>
      </c>
    </row>
    <row r="34" spans="1:6" ht="15" customHeight="1" x14ac:dyDescent="0.2">
      <c r="A34" s="178" t="s">
        <v>52</v>
      </c>
      <c r="B34" s="61" t="s">
        <v>53</v>
      </c>
      <c r="C34" s="167">
        <v>0</v>
      </c>
      <c r="D34" s="168" t="s">
        <v>51</v>
      </c>
      <c r="E34" s="169">
        <v>61</v>
      </c>
      <c r="F34" s="170">
        <f t="shared" si="4"/>
        <v>0</v>
      </c>
    </row>
    <row r="35" spans="1:6" ht="15" customHeight="1" x14ac:dyDescent="0.2">
      <c r="A35" s="178" t="s">
        <v>54</v>
      </c>
      <c r="B35" s="61" t="s">
        <v>55</v>
      </c>
      <c r="C35" s="167">
        <v>0</v>
      </c>
      <c r="D35" s="168" t="s">
        <v>51</v>
      </c>
      <c r="E35" s="169">
        <v>52</v>
      </c>
      <c r="F35" s="170">
        <f t="shared" si="4"/>
        <v>0</v>
      </c>
    </row>
    <row r="36" spans="1:6" x14ac:dyDescent="0.25">
      <c r="A36" s="177">
        <v>3.2</v>
      </c>
      <c r="B36" s="62" t="s">
        <v>56</v>
      </c>
      <c r="C36" s="171"/>
      <c r="D36" s="171"/>
      <c r="E36" s="171"/>
      <c r="F36" s="171"/>
    </row>
    <row r="37" spans="1:6" ht="14.25" x14ac:dyDescent="0.2">
      <c r="A37" s="178" t="s">
        <v>57</v>
      </c>
      <c r="B37" s="61" t="s">
        <v>58</v>
      </c>
      <c r="C37" s="167">
        <v>0</v>
      </c>
      <c r="D37" s="168" t="s">
        <v>11</v>
      </c>
      <c r="E37" s="169">
        <v>70</v>
      </c>
      <c r="F37" s="170">
        <f>SUM(E37*C37)</f>
        <v>0</v>
      </c>
    </row>
    <row r="38" spans="1:6" ht="15" customHeight="1" x14ac:dyDescent="0.2">
      <c r="A38" s="178" t="s">
        <v>59</v>
      </c>
      <c r="B38" s="61" t="s">
        <v>60</v>
      </c>
      <c r="C38" s="167">
        <f>C37</f>
        <v>0</v>
      </c>
      <c r="D38" s="168" t="s">
        <v>11</v>
      </c>
      <c r="E38" s="169">
        <v>35</v>
      </c>
      <c r="F38" s="170">
        <f>SUM(E38*C38)</f>
        <v>0</v>
      </c>
    </row>
    <row r="39" spans="1:6" ht="15" customHeight="1" x14ac:dyDescent="0.25">
      <c r="A39" s="177">
        <v>3.3</v>
      </c>
      <c r="B39" s="62" t="s">
        <v>61</v>
      </c>
      <c r="E39" s="169"/>
      <c r="F39" s="170"/>
    </row>
    <row r="40" spans="1:6" ht="15" customHeight="1" x14ac:dyDescent="0.2">
      <c r="A40" s="178" t="s">
        <v>62</v>
      </c>
      <c r="B40" s="61" t="s">
        <v>63</v>
      </c>
      <c r="C40" s="167">
        <v>0</v>
      </c>
      <c r="D40" s="168" t="s">
        <v>11</v>
      </c>
      <c r="E40" s="169">
        <f>ROUNDUP(E37*125/150,0)</f>
        <v>59</v>
      </c>
      <c r="F40" s="170">
        <f t="shared" ref="F40:F41" si="5">SUM(E40*C40)</f>
        <v>0</v>
      </c>
    </row>
    <row r="41" spans="1:6" ht="15" customHeight="1" x14ac:dyDescent="0.2">
      <c r="A41" s="178" t="s">
        <v>64</v>
      </c>
      <c r="B41" s="61" t="s">
        <v>65</v>
      </c>
      <c r="C41" s="167">
        <f>C40</f>
        <v>0</v>
      </c>
      <c r="D41" s="168" t="s">
        <v>11</v>
      </c>
      <c r="E41" s="169">
        <f>ROUNDUP(E38*0.8,0)</f>
        <v>28</v>
      </c>
      <c r="F41" s="170">
        <f t="shared" si="5"/>
        <v>0</v>
      </c>
    </row>
    <row r="42" spans="1:6" ht="15" customHeight="1" x14ac:dyDescent="0.25">
      <c r="A42" s="177">
        <v>3.4</v>
      </c>
      <c r="B42" s="62" t="s">
        <v>66</v>
      </c>
      <c r="E42" s="169"/>
      <c r="F42" s="170"/>
    </row>
    <row r="43" spans="1:6" ht="15" customHeight="1" x14ac:dyDescent="0.2">
      <c r="A43" s="178" t="s">
        <v>67</v>
      </c>
      <c r="B43" s="61" t="s">
        <v>63</v>
      </c>
      <c r="C43" s="167">
        <f>580*2.5</f>
        <v>1450</v>
      </c>
      <c r="D43" s="168" t="s">
        <v>11</v>
      </c>
      <c r="E43" s="169">
        <f>E40</f>
        <v>59</v>
      </c>
      <c r="F43" s="170">
        <f t="shared" ref="F43:F45" si="6">SUM(E43*C43)</f>
        <v>85550</v>
      </c>
    </row>
    <row r="44" spans="1:6" ht="14.25" x14ac:dyDescent="0.2">
      <c r="A44" s="178" t="s">
        <v>68</v>
      </c>
      <c r="B44" s="61" t="s">
        <v>65</v>
      </c>
      <c r="C44" s="167">
        <f>C43</f>
        <v>1450</v>
      </c>
      <c r="D44" s="168" t="s">
        <v>11</v>
      </c>
      <c r="E44" s="169">
        <f>ROUNDUP(E38*0.8,0)</f>
        <v>28</v>
      </c>
      <c r="F44" s="170">
        <f t="shared" si="6"/>
        <v>40600</v>
      </c>
    </row>
    <row r="45" spans="1:6" ht="15" customHeight="1" x14ac:dyDescent="0.2">
      <c r="A45" s="177">
        <v>3.5</v>
      </c>
      <c r="B45" s="61" t="s">
        <v>69</v>
      </c>
      <c r="C45" s="167">
        <v>0</v>
      </c>
      <c r="D45" s="168" t="s">
        <v>14</v>
      </c>
      <c r="E45" s="169">
        <v>650</v>
      </c>
      <c r="F45" s="170">
        <f t="shared" si="6"/>
        <v>0</v>
      </c>
    </row>
    <row r="46" spans="1:6" ht="15" customHeight="1" x14ac:dyDescent="0.25">
      <c r="A46" s="165">
        <v>4</v>
      </c>
      <c r="B46" s="70" t="s">
        <v>70</v>
      </c>
      <c r="C46" s="71"/>
      <c r="D46" s="72"/>
      <c r="E46" s="79"/>
      <c r="F46" s="74">
        <f>SUM(F47:F60)</f>
        <v>239340</v>
      </c>
    </row>
    <row r="47" spans="1:6" ht="15" customHeight="1" x14ac:dyDescent="0.2">
      <c r="A47" s="177">
        <v>4.0999999999999996</v>
      </c>
      <c r="B47" s="61" t="s">
        <v>71</v>
      </c>
      <c r="C47" s="15">
        <v>10</v>
      </c>
      <c r="D47" s="14" t="s">
        <v>14</v>
      </c>
      <c r="E47" s="53">
        <v>4900</v>
      </c>
      <c r="F47" s="16">
        <f t="shared" ref="F47:F63" si="7">E47*C47</f>
        <v>49000</v>
      </c>
    </row>
    <row r="48" spans="1:6" ht="15" customHeight="1" x14ac:dyDescent="0.2">
      <c r="A48" s="177">
        <v>4.2</v>
      </c>
      <c r="B48" s="61" t="s">
        <v>72</v>
      </c>
      <c r="C48" s="15">
        <v>2</v>
      </c>
      <c r="D48" s="14" t="s">
        <v>14</v>
      </c>
      <c r="E48" s="53">
        <v>1650</v>
      </c>
      <c r="F48" s="16">
        <f t="shared" si="7"/>
        <v>3300</v>
      </c>
    </row>
    <row r="49" spans="1:6" ht="15" customHeight="1" x14ac:dyDescent="0.25">
      <c r="A49" s="177">
        <v>4.3</v>
      </c>
      <c r="B49" s="62" t="s">
        <v>73</v>
      </c>
      <c r="C49" s="15"/>
      <c r="D49" s="14"/>
      <c r="E49" s="53"/>
      <c r="F49" s="16"/>
    </row>
    <row r="50" spans="1:6" ht="15" customHeight="1" x14ac:dyDescent="0.2">
      <c r="A50" s="178" t="s">
        <v>74</v>
      </c>
      <c r="B50" s="61" t="s">
        <v>75</v>
      </c>
      <c r="C50" s="15">
        <v>0</v>
      </c>
      <c r="D50" s="14" t="s">
        <v>14</v>
      </c>
      <c r="E50" s="53">
        <v>4200</v>
      </c>
      <c r="F50" s="16">
        <f t="shared" si="7"/>
        <v>0</v>
      </c>
    </row>
    <row r="51" spans="1:6" ht="15" customHeight="1" x14ac:dyDescent="0.2">
      <c r="A51" s="178" t="s">
        <v>76</v>
      </c>
      <c r="B51" s="61" t="s">
        <v>77</v>
      </c>
      <c r="C51" s="15">
        <v>0</v>
      </c>
      <c r="D51" s="14" t="s">
        <v>14</v>
      </c>
      <c r="E51" s="53">
        <v>5300</v>
      </c>
      <c r="F51" s="16">
        <f t="shared" si="7"/>
        <v>0</v>
      </c>
    </row>
    <row r="52" spans="1:6" ht="15" customHeight="1" x14ac:dyDescent="0.25">
      <c r="A52" s="177">
        <v>4.4000000000000004</v>
      </c>
      <c r="B52" s="62" t="s">
        <v>78</v>
      </c>
      <c r="C52" s="15"/>
      <c r="D52" s="14"/>
      <c r="E52" s="53"/>
      <c r="F52" s="16"/>
    </row>
    <row r="53" spans="1:6" ht="15" customHeight="1" x14ac:dyDescent="0.2">
      <c r="A53" s="178" t="s">
        <v>79</v>
      </c>
      <c r="B53" s="61" t="s">
        <v>80</v>
      </c>
      <c r="C53" s="15">
        <f>60+90+90+60</f>
        <v>300</v>
      </c>
      <c r="D53" s="14" t="s">
        <v>51</v>
      </c>
      <c r="E53" s="53">
        <v>325</v>
      </c>
      <c r="F53" s="16">
        <f t="shared" si="7"/>
        <v>97500</v>
      </c>
    </row>
    <row r="54" spans="1:6" ht="15" customHeight="1" x14ac:dyDescent="0.2">
      <c r="A54" s="178" t="s">
        <v>81</v>
      </c>
      <c r="B54" s="61" t="s">
        <v>82</v>
      </c>
      <c r="C54" s="15">
        <f>35+55+63</f>
        <v>153</v>
      </c>
      <c r="D54" s="14" t="s">
        <v>51</v>
      </c>
      <c r="E54" s="53">
        <v>480</v>
      </c>
      <c r="F54" s="16">
        <f t="shared" si="7"/>
        <v>73440</v>
      </c>
    </row>
    <row r="55" spans="1:6" ht="15" customHeight="1" x14ac:dyDescent="0.2">
      <c r="A55" s="178" t="s">
        <v>83</v>
      </c>
      <c r="B55" s="61" t="s">
        <v>84</v>
      </c>
      <c r="C55" s="15">
        <v>0</v>
      </c>
      <c r="D55" s="14" t="s">
        <v>51</v>
      </c>
      <c r="E55" s="53">
        <v>600</v>
      </c>
      <c r="F55" s="16">
        <f t="shared" si="7"/>
        <v>0</v>
      </c>
    </row>
    <row r="56" spans="1:6" ht="15" customHeight="1" x14ac:dyDescent="0.2">
      <c r="A56" s="178" t="s">
        <v>85</v>
      </c>
      <c r="B56" s="61" t="s">
        <v>86</v>
      </c>
      <c r="C56" s="15">
        <v>0</v>
      </c>
      <c r="D56" s="14" t="s">
        <v>51</v>
      </c>
      <c r="E56" s="53">
        <v>750</v>
      </c>
      <c r="F56" s="16">
        <f t="shared" si="7"/>
        <v>0</v>
      </c>
    </row>
    <row r="57" spans="1:6" ht="15" customHeight="1" x14ac:dyDescent="0.25">
      <c r="A57" s="177">
        <v>4.5</v>
      </c>
      <c r="B57" s="62" t="s">
        <v>87</v>
      </c>
      <c r="C57" s="15"/>
      <c r="D57" s="14"/>
      <c r="E57" s="53"/>
      <c r="F57" s="16"/>
    </row>
    <row r="58" spans="1:6" ht="15" customHeight="1" x14ac:dyDescent="0.2">
      <c r="A58" s="178" t="s">
        <v>88</v>
      </c>
      <c r="B58" s="61" t="s">
        <v>89</v>
      </c>
      <c r="C58" s="15">
        <v>0</v>
      </c>
      <c r="D58" s="14" t="s">
        <v>14</v>
      </c>
      <c r="E58" s="53">
        <v>3800</v>
      </c>
      <c r="F58" s="16">
        <f t="shared" ref="F58" si="8">E58*C58</f>
        <v>0</v>
      </c>
    </row>
    <row r="59" spans="1:6" ht="15" customHeight="1" x14ac:dyDescent="0.2">
      <c r="A59" s="177">
        <v>4.5999999999999996</v>
      </c>
      <c r="B59" s="127" t="s">
        <v>90</v>
      </c>
      <c r="C59" s="15">
        <f>C33+C35</f>
        <v>580</v>
      </c>
      <c r="D59" s="128" t="s">
        <v>51</v>
      </c>
      <c r="E59" s="53">
        <v>25</v>
      </c>
      <c r="F59" s="16">
        <f t="shared" si="7"/>
        <v>14500</v>
      </c>
    </row>
    <row r="60" spans="1:6" ht="15" customHeight="1" x14ac:dyDescent="0.2">
      <c r="A60" s="177">
        <v>4.7</v>
      </c>
      <c r="B60" s="127" t="s">
        <v>91</v>
      </c>
      <c r="C60" s="15">
        <v>4</v>
      </c>
      <c r="D60" s="128" t="s">
        <v>92</v>
      </c>
      <c r="E60" s="53">
        <v>400</v>
      </c>
      <c r="F60" s="16">
        <f t="shared" si="7"/>
        <v>1600</v>
      </c>
    </row>
    <row r="61" spans="1:6" ht="15" customHeight="1" x14ac:dyDescent="0.25">
      <c r="A61" s="165">
        <v>5</v>
      </c>
      <c r="B61" s="70" t="s">
        <v>93</v>
      </c>
      <c r="C61" s="71"/>
      <c r="D61" s="72"/>
      <c r="E61" s="73"/>
      <c r="F61" s="74">
        <f>SUM(F62:F63)</f>
        <v>0</v>
      </c>
    </row>
    <row r="62" spans="1:6" ht="15" customHeight="1" x14ac:dyDescent="0.2">
      <c r="A62" s="177">
        <v>5.0999999999999996</v>
      </c>
      <c r="B62" s="61" t="s">
        <v>94</v>
      </c>
      <c r="C62" s="167">
        <v>0</v>
      </c>
      <c r="D62" s="14" t="s">
        <v>14</v>
      </c>
      <c r="E62" s="53">
        <v>280000</v>
      </c>
      <c r="F62" s="16">
        <f t="shared" si="7"/>
        <v>0</v>
      </c>
    </row>
    <row r="63" spans="1:6" ht="15" customHeight="1" x14ac:dyDescent="0.2">
      <c r="A63" s="177">
        <v>5.2</v>
      </c>
      <c r="B63" s="61" t="s">
        <v>95</v>
      </c>
      <c r="C63" s="167">
        <v>0</v>
      </c>
      <c r="D63" s="14" t="s">
        <v>14</v>
      </c>
      <c r="E63" s="53"/>
      <c r="F63" s="16">
        <f t="shared" si="7"/>
        <v>0</v>
      </c>
    </row>
    <row r="64" spans="1:6" ht="15" customHeight="1" x14ac:dyDescent="0.25">
      <c r="A64" s="165">
        <v>6</v>
      </c>
      <c r="B64" s="70" t="s">
        <v>96</v>
      </c>
      <c r="C64" s="71"/>
      <c r="D64" s="72"/>
      <c r="E64" s="79"/>
      <c r="F64" s="74">
        <f>SUM(F65:F67)</f>
        <v>8140</v>
      </c>
    </row>
    <row r="65" spans="1:6" ht="15" customHeight="1" x14ac:dyDescent="0.2">
      <c r="A65" s="177">
        <v>6.1</v>
      </c>
      <c r="B65" s="61" t="s">
        <v>97</v>
      </c>
      <c r="C65" s="15">
        <v>38</v>
      </c>
      <c r="D65" s="14" t="s">
        <v>14</v>
      </c>
      <c r="E65" s="53">
        <v>50</v>
      </c>
      <c r="F65" s="16">
        <f t="shared" ref="F65:F71" si="9">E65*C65</f>
        <v>1900</v>
      </c>
    </row>
    <row r="66" spans="1:6" ht="15" customHeight="1" x14ac:dyDescent="0.2">
      <c r="A66" s="177">
        <v>6.2</v>
      </c>
      <c r="B66" s="61" t="s">
        <v>98</v>
      </c>
      <c r="C66" s="15">
        <v>0</v>
      </c>
      <c r="D66" s="14" t="s">
        <v>11</v>
      </c>
      <c r="E66" s="53">
        <v>60</v>
      </c>
      <c r="F66" s="16">
        <f t="shared" si="9"/>
        <v>0</v>
      </c>
    </row>
    <row r="67" spans="1:6" ht="15" customHeight="1" x14ac:dyDescent="0.2">
      <c r="A67" s="177">
        <v>6.3</v>
      </c>
      <c r="B67" s="61" t="s">
        <v>99</v>
      </c>
      <c r="C67" s="15">
        <f>390*6.4</f>
        <v>2496</v>
      </c>
      <c r="D67" s="14" t="s">
        <v>11</v>
      </c>
      <c r="E67" s="53">
        <v>2.5</v>
      </c>
      <c r="F67" s="16">
        <f t="shared" si="9"/>
        <v>6240</v>
      </c>
    </row>
    <row r="68" spans="1:6" ht="15" customHeight="1" x14ac:dyDescent="0.25">
      <c r="A68" s="165">
        <v>7</v>
      </c>
      <c r="B68" s="70" t="s">
        <v>100</v>
      </c>
      <c r="C68" s="71"/>
      <c r="D68" s="72"/>
      <c r="E68" s="73"/>
      <c r="F68" s="74">
        <f>SUM(F69:F72)</f>
        <v>71760</v>
      </c>
    </row>
    <row r="69" spans="1:6" ht="15" customHeight="1" x14ac:dyDescent="0.2">
      <c r="A69" s="177">
        <v>7.1</v>
      </c>
      <c r="B69" s="61" t="s">
        <v>101</v>
      </c>
      <c r="C69" s="15">
        <v>0</v>
      </c>
      <c r="D69" s="14" t="s">
        <v>14</v>
      </c>
      <c r="E69" s="53">
        <v>100000</v>
      </c>
      <c r="F69" s="16">
        <f t="shared" si="9"/>
        <v>0</v>
      </c>
    </row>
    <row r="70" spans="1:6" ht="15" customHeight="1" x14ac:dyDescent="0.2">
      <c r="A70" s="177">
        <v>7.2</v>
      </c>
      <c r="B70" s="61" t="s">
        <v>102</v>
      </c>
      <c r="C70" s="15">
        <v>0</v>
      </c>
      <c r="D70" s="14" t="s">
        <v>14</v>
      </c>
      <c r="E70" s="53">
        <v>80000</v>
      </c>
      <c r="F70" s="16">
        <f t="shared" si="9"/>
        <v>0</v>
      </c>
    </row>
    <row r="71" spans="1:6" ht="15" customHeight="1" x14ac:dyDescent="0.2">
      <c r="A71" s="177">
        <v>7.3</v>
      </c>
      <c r="B71" s="61" t="s">
        <v>103</v>
      </c>
      <c r="C71" s="15">
        <f>33+186+171</f>
        <v>390</v>
      </c>
      <c r="D71" s="14" t="s">
        <v>51</v>
      </c>
      <c r="E71" s="53">
        <v>160</v>
      </c>
      <c r="F71" s="16">
        <f t="shared" si="9"/>
        <v>62400</v>
      </c>
    </row>
    <row r="72" spans="1:6" ht="15" customHeight="1" x14ac:dyDescent="0.2">
      <c r="A72" s="177">
        <v>7.4</v>
      </c>
      <c r="B72" s="61" t="s">
        <v>104</v>
      </c>
      <c r="C72" s="15">
        <v>15</v>
      </c>
      <c r="D72" s="14" t="s">
        <v>105</v>
      </c>
      <c r="E72" s="53">
        <f>SUM(F69:F71)</f>
        <v>62400</v>
      </c>
      <c r="F72" s="16">
        <f>E72*C72/100</f>
        <v>9360</v>
      </c>
    </row>
    <row r="73" spans="1:6" ht="15" customHeight="1" x14ac:dyDescent="0.25">
      <c r="A73" s="165">
        <v>8</v>
      </c>
      <c r="B73" s="70" t="s">
        <v>106</v>
      </c>
      <c r="C73" s="71"/>
      <c r="D73" s="72"/>
      <c r="E73" s="73"/>
      <c r="F73" s="74">
        <f>SUM(F74:F79)</f>
        <v>28719.067999999999</v>
      </c>
    </row>
    <row r="74" spans="1:6" ht="15" customHeight="1" x14ac:dyDescent="0.2">
      <c r="A74" s="177">
        <v>8.1</v>
      </c>
      <c r="B74" s="61" t="s">
        <v>107</v>
      </c>
      <c r="C74" s="15">
        <v>1</v>
      </c>
      <c r="D74" s="14" t="s">
        <v>14</v>
      </c>
      <c r="E74" s="53">
        <v>6000</v>
      </c>
      <c r="F74" s="16">
        <f t="shared" ref="F74:F76" si="10">C74*E74</f>
        <v>6000</v>
      </c>
    </row>
    <row r="75" spans="1:6" ht="15" customHeight="1" x14ac:dyDescent="0.2">
      <c r="A75" s="177">
        <v>8.1999999999999993</v>
      </c>
      <c r="B75" s="61" t="s">
        <v>108</v>
      </c>
      <c r="C75" s="15">
        <v>5</v>
      </c>
      <c r="D75" s="14" t="s">
        <v>14</v>
      </c>
      <c r="E75" s="53">
        <v>280</v>
      </c>
      <c r="F75" s="16">
        <f t="shared" si="10"/>
        <v>1400</v>
      </c>
    </row>
    <row r="76" spans="1:6" ht="15" customHeight="1" x14ac:dyDescent="0.2">
      <c r="A76" s="177">
        <v>8.3000000000000007</v>
      </c>
      <c r="B76" s="61" t="s">
        <v>109</v>
      </c>
      <c r="C76" s="15">
        <v>1</v>
      </c>
      <c r="D76" s="14" t="s">
        <v>14</v>
      </c>
      <c r="E76" s="53">
        <f>0.015*(F46+F31+F12)</f>
        <v>12922.067999999999</v>
      </c>
      <c r="F76" s="16">
        <f t="shared" si="10"/>
        <v>12922.067999999999</v>
      </c>
    </row>
    <row r="77" spans="1:6" ht="15" customHeight="1" x14ac:dyDescent="0.2">
      <c r="A77" s="177">
        <v>8.4</v>
      </c>
      <c r="B77" s="61" t="s">
        <v>110</v>
      </c>
      <c r="C77" s="15">
        <v>1</v>
      </c>
      <c r="D77" s="14" t="s">
        <v>14</v>
      </c>
      <c r="E77" s="53">
        <f>0.15*F64</f>
        <v>1221</v>
      </c>
      <c r="F77" s="16">
        <f>C77*E77</f>
        <v>1221</v>
      </c>
    </row>
    <row r="78" spans="1:6" ht="15" customHeight="1" x14ac:dyDescent="0.2">
      <c r="A78" s="177">
        <v>8.5</v>
      </c>
      <c r="B78" s="61" t="s">
        <v>111</v>
      </c>
      <c r="C78" s="15">
        <v>10</v>
      </c>
      <c r="D78" s="14" t="s">
        <v>112</v>
      </c>
      <c r="E78" s="53">
        <f>F62*0.015</f>
        <v>0</v>
      </c>
      <c r="F78" s="16">
        <f>C78*E78</f>
        <v>0</v>
      </c>
    </row>
    <row r="79" spans="1:6" ht="14.25" x14ac:dyDescent="0.2">
      <c r="A79" s="177">
        <v>8.6</v>
      </c>
      <c r="B79" s="61" t="s">
        <v>113</v>
      </c>
      <c r="C79" s="15">
        <v>1</v>
      </c>
      <c r="D79" s="14" t="s">
        <v>14</v>
      </c>
      <c r="E79" s="53">
        <f>0.1*F68</f>
        <v>7176</v>
      </c>
      <c r="F79" s="16">
        <f>C79*E79</f>
        <v>7176</v>
      </c>
    </row>
    <row r="80" spans="1:6" ht="15" customHeight="1" x14ac:dyDescent="0.25">
      <c r="A80" s="165">
        <v>9</v>
      </c>
      <c r="B80" s="70" t="s">
        <v>114</v>
      </c>
      <c r="C80" s="71"/>
      <c r="D80" s="72"/>
      <c r="E80" s="73"/>
      <c r="F80" s="74">
        <f>SUM(F81:F83)</f>
        <v>10000</v>
      </c>
    </row>
    <row r="81" spans="1:6" ht="15" customHeight="1" x14ac:dyDescent="0.2">
      <c r="A81" s="177">
        <v>9.1</v>
      </c>
      <c r="B81" s="61" t="s">
        <v>130</v>
      </c>
      <c r="C81" s="15">
        <v>1</v>
      </c>
      <c r="D81" s="14" t="s">
        <v>14</v>
      </c>
      <c r="E81" s="53">
        <v>10000</v>
      </c>
      <c r="F81" s="16">
        <f t="shared" ref="F81" si="11">C81*E81</f>
        <v>10000</v>
      </c>
    </row>
    <row r="82" spans="1:6" ht="15" customHeight="1" x14ac:dyDescent="0.2">
      <c r="A82" s="177"/>
      <c r="B82" s="61"/>
      <c r="C82" s="15"/>
      <c r="D82" s="14"/>
      <c r="E82" s="53"/>
      <c r="F82" s="16"/>
    </row>
    <row r="83" spans="1:6" ht="15" customHeight="1" x14ac:dyDescent="0.2">
      <c r="A83" s="177"/>
      <c r="B83" s="61"/>
      <c r="C83" s="15"/>
      <c r="D83" s="14"/>
      <c r="E83" s="53"/>
      <c r="F83" s="16"/>
    </row>
    <row r="84" spans="1:6" ht="15" customHeight="1" x14ac:dyDescent="0.25">
      <c r="A84" s="92"/>
      <c r="B84" s="160" t="s">
        <v>115</v>
      </c>
      <c r="C84" s="75"/>
      <c r="D84" s="76"/>
      <c r="E84" s="83"/>
      <c r="F84" s="181">
        <f>SUM(F5,F12,F31,F46,F61,F64,F68,F73,F80)</f>
        <v>1112615.21</v>
      </c>
    </row>
    <row r="85" spans="1:6" ht="15" customHeight="1" x14ac:dyDescent="0.25">
      <c r="A85" s="165">
        <v>10</v>
      </c>
      <c r="B85" s="70" t="s">
        <v>116</v>
      </c>
      <c r="C85" s="71"/>
      <c r="D85" s="72"/>
      <c r="E85" s="73"/>
      <c r="F85" s="74"/>
    </row>
    <row r="86" spans="1:6" ht="15" customHeight="1" x14ac:dyDescent="0.2">
      <c r="A86" s="177">
        <v>10.1</v>
      </c>
      <c r="B86" s="61" t="s">
        <v>117</v>
      </c>
      <c r="C86" s="166">
        <v>3.25</v>
      </c>
      <c r="D86" s="14" t="s">
        <v>105</v>
      </c>
      <c r="E86" s="175"/>
      <c r="F86" s="176">
        <f>C86%*F$84</f>
        <v>36159.994325</v>
      </c>
    </row>
    <row r="87" spans="1:6" ht="15" customHeight="1" x14ac:dyDescent="0.2">
      <c r="A87" s="177">
        <v>10.199999999999999</v>
      </c>
      <c r="B87" s="61" t="s">
        <v>118</v>
      </c>
      <c r="C87" s="166">
        <v>1</v>
      </c>
      <c r="D87" s="14" t="s">
        <v>105</v>
      </c>
      <c r="E87" s="175"/>
      <c r="F87" s="176">
        <f t="shared" ref="F87:F93" si="12">C87%*F$84</f>
        <v>11126.152099999999</v>
      </c>
    </row>
    <row r="88" spans="1:6" ht="15" customHeight="1" x14ac:dyDescent="0.2">
      <c r="A88" s="177">
        <v>10.3</v>
      </c>
      <c r="B88" s="61" t="s">
        <v>119</v>
      </c>
      <c r="C88" s="166">
        <v>5</v>
      </c>
      <c r="D88" s="14" t="s">
        <v>105</v>
      </c>
      <c r="E88" s="175"/>
      <c r="F88" s="176">
        <f t="shared" si="12"/>
        <v>55630.760500000004</v>
      </c>
    </row>
    <row r="89" spans="1:6" ht="15" customHeight="1" x14ac:dyDescent="0.2">
      <c r="A89" s="177">
        <v>10.4</v>
      </c>
      <c r="B89" s="61" t="s">
        <v>120</v>
      </c>
      <c r="C89" s="166">
        <v>0.5</v>
      </c>
      <c r="D89" s="14" t="s">
        <v>105</v>
      </c>
      <c r="E89" s="175"/>
      <c r="F89" s="176">
        <f t="shared" si="12"/>
        <v>5563.0760499999997</v>
      </c>
    </row>
    <row r="90" spans="1:6" ht="15" customHeight="1" x14ac:dyDescent="0.2">
      <c r="A90" s="177">
        <v>10.5</v>
      </c>
      <c r="B90" s="61" t="s">
        <v>121</v>
      </c>
      <c r="C90" s="166">
        <v>5</v>
      </c>
      <c r="D90" s="14" t="s">
        <v>105</v>
      </c>
      <c r="E90" s="175"/>
      <c r="F90" s="176">
        <f t="shared" si="12"/>
        <v>55630.760500000004</v>
      </c>
    </row>
    <row r="91" spans="1:6" ht="15" customHeight="1" x14ac:dyDescent="0.2">
      <c r="A91" s="177">
        <v>10.6</v>
      </c>
      <c r="B91" s="61" t="s">
        <v>122</v>
      </c>
      <c r="C91" s="166">
        <v>9</v>
      </c>
      <c r="D91" s="14" t="s">
        <v>105</v>
      </c>
      <c r="E91" s="175"/>
      <c r="F91" s="176">
        <f t="shared" si="12"/>
        <v>100135.36889999999</v>
      </c>
    </row>
    <row r="92" spans="1:6" ht="15" customHeight="1" x14ac:dyDescent="0.2">
      <c r="A92" s="177">
        <v>10.7</v>
      </c>
      <c r="B92" s="61" t="s">
        <v>123</v>
      </c>
      <c r="C92" s="166">
        <v>2.5</v>
      </c>
      <c r="D92" s="14" t="s">
        <v>105</v>
      </c>
      <c r="E92" s="175"/>
      <c r="F92" s="176">
        <f t="shared" si="12"/>
        <v>27815.380250000002</v>
      </c>
    </row>
    <row r="93" spans="1:6" ht="15" customHeight="1" x14ac:dyDescent="0.2">
      <c r="A93" s="177">
        <v>10.8</v>
      </c>
      <c r="B93" s="61" t="s">
        <v>124</v>
      </c>
      <c r="C93" s="166">
        <v>15</v>
      </c>
      <c r="D93" s="14" t="s">
        <v>105</v>
      </c>
      <c r="E93" s="175"/>
      <c r="F93" s="176">
        <f t="shared" si="12"/>
        <v>166892.28149999998</v>
      </c>
    </row>
    <row r="94" spans="1:6" ht="15" customHeight="1" x14ac:dyDescent="0.25">
      <c r="A94" s="92"/>
      <c r="B94" s="160" t="s">
        <v>125</v>
      </c>
      <c r="C94" s="75"/>
      <c r="D94" s="76"/>
      <c r="E94" s="83"/>
      <c r="F94" s="181">
        <f>SUM(F84:F93)</f>
        <v>1571568.9841250002</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00000"/>
  </sheetPr>
  <dimension ref="A1:F94"/>
  <sheetViews>
    <sheetView workbookViewId="0">
      <selection activeCell="F100" sqref="F100"/>
    </sheetView>
  </sheetViews>
  <sheetFormatPr defaultColWidth="9.140625" defaultRowHeight="15" customHeight="1" x14ac:dyDescent="0.2"/>
  <cols>
    <col min="1" max="1" width="12.7109375" style="162" customWidth="1"/>
    <col min="2" max="2" width="50.7109375" style="162" customWidth="1"/>
    <col min="3" max="4" width="12.7109375" style="162" customWidth="1"/>
    <col min="5" max="6" width="15.7109375" style="162" customWidth="1"/>
    <col min="7" max="16384" width="9.140625" style="162"/>
  </cols>
  <sheetData>
    <row r="1" spans="1:6" ht="15" customHeight="1" x14ac:dyDescent="0.25">
      <c r="A1" s="1" t="s">
        <v>0</v>
      </c>
      <c r="F1" s="161">
        <v>43544</v>
      </c>
    </row>
    <row r="2" spans="1:6" ht="15" customHeight="1" x14ac:dyDescent="0.25">
      <c r="A2" s="1" t="s">
        <v>143</v>
      </c>
    </row>
    <row r="3" spans="1:6" ht="15" customHeight="1" x14ac:dyDescent="0.25">
      <c r="A3" s="1" t="s">
        <v>144</v>
      </c>
    </row>
    <row r="4" spans="1:6" ht="30" x14ac:dyDescent="0.2">
      <c r="A4" s="182" t="s">
        <v>2</v>
      </c>
      <c r="B4" s="182" t="s">
        <v>3</v>
      </c>
      <c r="C4" s="182" t="s">
        <v>4</v>
      </c>
      <c r="D4" s="182" t="s">
        <v>5</v>
      </c>
      <c r="E4" s="183" t="s">
        <v>6</v>
      </c>
      <c r="F4" s="183" t="s">
        <v>7</v>
      </c>
    </row>
    <row r="5" spans="1:6" ht="15" customHeight="1" x14ac:dyDescent="0.25">
      <c r="A5" s="165">
        <v>1</v>
      </c>
      <c r="B5" s="70" t="s">
        <v>8</v>
      </c>
      <c r="C5" s="71"/>
      <c r="D5" s="72"/>
      <c r="E5" s="79"/>
      <c r="F5" s="74">
        <f>SUM(F6:F11)</f>
        <v>286892.88410000002</v>
      </c>
    </row>
    <row r="6" spans="1:6" ht="15" customHeight="1" x14ac:dyDescent="0.2">
      <c r="A6" s="177">
        <v>1.1000000000000001</v>
      </c>
      <c r="B6" s="127" t="s">
        <v>9</v>
      </c>
      <c r="C6" s="167">
        <f>C7</f>
        <v>4027.5150000000003</v>
      </c>
      <c r="D6" s="173" t="s">
        <v>11</v>
      </c>
      <c r="E6" s="174">
        <v>5</v>
      </c>
      <c r="F6" s="170">
        <f t="shared" ref="F6:F11" si="0">C6*E6</f>
        <v>20137.575000000001</v>
      </c>
    </row>
    <row r="7" spans="1:6" ht="15" customHeight="1" x14ac:dyDescent="0.2">
      <c r="A7" s="177">
        <v>1.2</v>
      </c>
      <c r="B7" s="127" t="s">
        <v>12</v>
      </c>
      <c r="C7" s="167">
        <f>ROUNDUP(C33/2*5,0)+C43+C40+(C14+C20+C26)*0.2</f>
        <v>4027.5150000000003</v>
      </c>
      <c r="D7" s="173" t="s">
        <v>11</v>
      </c>
      <c r="E7" s="174">
        <v>7</v>
      </c>
      <c r="F7" s="170">
        <f t="shared" si="0"/>
        <v>28192.605000000003</v>
      </c>
    </row>
    <row r="8" spans="1:6" ht="15" customHeight="1" x14ac:dyDescent="0.2">
      <c r="A8" s="177">
        <v>1.3</v>
      </c>
      <c r="B8" s="127" t="s">
        <v>13</v>
      </c>
      <c r="C8" s="167">
        <v>1</v>
      </c>
      <c r="D8" s="173" t="s">
        <v>14</v>
      </c>
      <c r="E8" s="174">
        <v>2000</v>
      </c>
      <c r="F8" s="170">
        <f t="shared" si="0"/>
        <v>2000</v>
      </c>
    </row>
    <row r="9" spans="1:6" ht="15" customHeight="1" x14ac:dyDescent="0.2">
      <c r="A9" s="177">
        <v>1.4</v>
      </c>
      <c r="B9" s="127" t="s">
        <v>15</v>
      </c>
      <c r="C9" s="167">
        <v>1</v>
      </c>
      <c r="D9" s="173" t="s">
        <v>14</v>
      </c>
      <c r="E9" s="174">
        <v>15000</v>
      </c>
      <c r="F9" s="170">
        <f t="shared" si="0"/>
        <v>15000</v>
      </c>
    </row>
    <row r="10" spans="1:6" ht="15" customHeight="1" x14ac:dyDescent="0.2">
      <c r="A10" s="177">
        <v>1.5</v>
      </c>
      <c r="B10" s="127" t="s">
        <v>16</v>
      </c>
      <c r="C10" s="167">
        <f>(C16*0.4+C37*0.25+C43*0.175+C17*0.3)*0.6+800</f>
        <v>3597.4276999999997</v>
      </c>
      <c r="D10" s="173" t="s">
        <v>17</v>
      </c>
      <c r="E10" s="174">
        <v>45</v>
      </c>
      <c r="F10" s="170">
        <f t="shared" si="0"/>
        <v>161884.24649999998</v>
      </c>
    </row>
    <row r="11" spans="1:6" ht="15" customHeight="1" x14ac:dyDescent="0.2">
      <c r="A11" s="177">
        <v>1.6</v>
      </c>
      <c r="B11" s="127" t="s">
        <v>18</v>
      </c>
      <c r="C11" s="167">
        <f>(C16*0.4+C37*0.25+C43*0.175+C17*0.3)*0.4</f>
        <v>1864.9518</v>
      </c>
      <c r="D11" s="173" t="s">
        <v>17</v>
      </c>
      <c r="E11" s="174">
        <v>32</v>
      </c>
      <c r="F11" s="170">
        <f t="shared" si="0"/>
        <v>59678.457600000002</v>
      </c>
    </row>
    <row r="12" spans="1:6" ht="15" customHeight="1" x14ac:dyDescent="0.25">
      <c r="A12" s="165">
        <v>2</v>
      </c>
      <c r="B12" s="70" t="s">
        <v>19</v>
      </c>
      <c r="C12" s="71"/>
      <c r="D12" s="72"/>
      <c r="E12" s="79"/>
      <c r="F12" s="74">
        <f>SUM(F14:F30)</f>
        <v>1133546.26</v>
      </c>
    </row>
    <row r="13" spans="1:6" ht="15" customHeight="1" x14ac:dyDescent="0.25">
      <c r="A13" s="163">
        <v>2.1</v>
      </c>
      <c r="B13" s="62" t="s">
        <v>20</v>
      </c>
      <c r="C13" s="167"/>
      <c r="D13" s="168"/>
      <c r="E13" s="172"/>
      <c r="F13" s="170"/>
    </row>
    <row r="14" spans="1:6" ht="15" customHeight="1" x14ac:dyDescent="0.2">
      <c r="A14" s="164" t="s">
        <v>21</v>
      </c>
      <c r="B14" s="127" t="s">
        <v>22</v>
      </c>
      <c r="C14" s="167">
        <f>1140+12.5*6+32*5+46*4.9+16*1.5+4*4.9+4.4*20+3.2*10+6.3*3.75+44*5.6+44*3+5+50+45*8.75+6.4*3+75*3.5+55+5*4+150+330+150+6.4*4+8+23*7+103*7.5+99*6+60+860+120*7+120*8+60+370</f>
        <v>8312.5750000000007</v>
      </c>
      <c r="D14" s="173" t="s">
        <v>11</v>
      </c>
      <c r="E14" s="174">
        <v>27</v>
      </c>
      <c r="F14" s="170">
        <f t="shared" ref="F14:F18" si="1">C14*E14</f>
        <v>224439.52500000002</v>
      </c>
    </row>
    <row r="15" spans="1:6" ht="15" customHeight="1" x14ac:dyDescent="0.2">
      <c r="A15" s="164" t="s">
        <v>23</v>
      </c>
      <c r="B15" s="127" t="s">
        <v>24</v>
      </c>
      <c r="C15" s="167">
        <f>C14</f>
        <v>8312.5750000000007</v>
      </c>
      <c r="D15" s="173" t="s">
        <v>11</v>
      </c>
      <c r="E15" s="174">
        <f>ROUNDUP(32*100/75,0)</f>
        <v>43</v>
      </c>
      <c r="F15" s="170">
        <f t="shared" si="1"/>
        <v>357440.72500000003</v>
      </c>
    </row>
    <row r="16" spans="1:6" ht="15" customHeight="1" x14ac:dyDescent="0.2">
      <c r="A16" s="164" t="s">
        <v>25</v>
      </c>
      <c r="B16" s="127" t="s">
        <v>26</v>
      </c>
      <c r="C16" s="167">
        <f>C15+(C35*0.45)+(C33*0.75)</f>
        <v>9382.0750000000007</v>
      </c>
      <c r="D16" s="173" t="s">
        <v>11</v>
      </c>
      <c r="E16" s="174">
        <f>ROUNDUP(18*260/110,0)</f>
        <v>43</v>
      </c>
      <c r="F16" s="170">
        <f t="shared" si="1"/>
        <v>403429.22500000003</v>
      </c>
    </row>
    <row r="17" spans="1:6" ht="15" customHeight="1" x14ac:dyDescent="0.2">
      <c r="A17" s="164" t="s">
        <v>27</v>
      </c>
      <c r="B17" s="127" t="s">
        <v>28</v>
      </c>
      <c r="C17" s="167">
        <f>C16*0.2</f>
        <v>1876.4150000000002</v>
      </c>
      <c r="D17" s="173" t="s">
        <v>11</v>
      </c>
      <c r="E17" s="174">
        <v>24</v>
      </c>
      <c r="F17" s="170">
        <f t="shared" si="1"/>
        <v>45033.960000000006</v>
      </c>
    </row>
    <row r="18" spans="1:6" ht="15" customHeight="1" x14ac:dyDescent="0.2">
      <c r="A18" s="164" t="s">
        <v>29</v>
      </c>
      <c r="B18" s="127" t="s">
        <v>30</v>
      </c>
      <c r="C18" s="167">
        <f>C16*0.1</f>
        <v>938.2075000000001</v>
      </c>
      <c r="D18" s="173" t="s">
        <v>11</v>
      </c>
      <c r="E18" s="174">
        <v>110</v>
      </c>
      <c r="F18" s="170">
        <f t="shared" si="1"/>
        <v>103202.82500000001</v>
      </c>
    </row>
    <row r="19" spans="1:6" ht="15" customHeight="1" x14ac:dyDescent="0.25">
      <c r="A19" s="163">
        <v>2.2000000000000002</v>
      </c>
      <c r="B19" s="62" t="s">
        <v>31</v>
      </c>
      <c r="C19" s="167"/>
      <c r="D19" s="168"/>
      <c r="E19" s="172"/>
      <c r="F19" s="170"/>
    </row>
    <row r="20" spans="1:6" ht="15" customHeight="1" x14ac:dyDescent="0.2">
      <c r="A20" s="164" t="s">
        <v>32</v>
      </c>
      <c r="B20" s="127" t="s">
        <v>22</v>
      </c>
      <c r="C20" s="167">
        <v>0</v>
      </c>
      <c r="D20" s="173" t="s">
        <v>11</v>
      </c>
      <c r="E20" s="174">
        <v>27</v>
      </c>
      <c r="F20" s="170">
        <f t="shared" ref="F20:F24" si="2">C20*E20</f>
        <v>0</v>
      </c>
    </row>
    <row r="21" spans="1:6" ht="15" customHeight="1" x14ac:dyDescent="0.2">
      <c r="A21" s="164" t="s">
        <v>33</v>
      </c>
      <c r="B21" s="127" t="s">
        <v>34</v>
      </c>
      <c r="C21" s="167">
        <f>C20</f>
        <v>0</v>
      </c>
      <c r="D21" s="173" t="s">
        <v>11</v>
      </c>
      <c r="E21" s="174">
        <f>ROUNDUP(32*150/75,0)</f>
        <v>64</v>
      </c>
      <c r="F21" s="170">
        <f t="shared" si="2"/>
        <v>0</v>
      </c>
    </row>
    <row r="22" spans="1:6" ht="15" customHeight="1" x14ac:dyDescent="0.2">
      <c r="A22" s="164" t="s">
        <v>35</v>
      </c>
      <c r="B22" s="127" t="s">
        <v>36</v>
      </c>
      <c r="C22" s="167">
        <v>0</v>
      </c>
      <c r="D22" s="173" t="s">
        <v>11</v>
      </c>
      <c r="E22" s="174">
        <f>ROUNDUP(18*300/110,0)</f>
        <v>50</v>
      </c>
      <c r="F22" s="170">
        <f t="shared" si="2"/>
        <v>0</v>
      </c>
    </row>
    <row r="23" spans="1:6" ht="15" customHeight="1" x14ac:dyDescent="0.2">
      <c r="A23" s="164" t="s">
        <v>37</v>
      </c>
      <c r="B23" s="127" t="s">
        <v>28</v>
      </c>
      <c r="C23" s="167">
        <f>C22*0.2</f>
        <v>0</v>
      </c>
      <c r="D23" s="173" t="s">
        <v>11</v>
      </c>
      <c r="E23" s="174">
        <v>24</v>
      </c>
      <c r="F23" s="170">
        <f t="shared" si="2"/>
        <v>0</v>
      </c>
    </row>
    <row r="24" spans="1:6" ht="15" customHeight="1" x14ac:dyDescent="0.2">
      <c r="A24" s="164" t="s">
        <v>38</v>
      </c>
      <c r="B24" s="127" t="s">
        <v>30</v>
      </c>
      <c r="C24" s="167">
        <f>C22*0.1</f>
        <v>0</v>
      </c>
      <c r="D24" s="173" t="s">
        <v>11</v>
      </c>
      <c r="E24" s="174">
        <v>110</v>
      </c>
      <c r="F24" s="170">
        <f t="shared" si="2"/>
        <v>0</v>
      </c>
    </row>
    <row r="25" spans="1:6" ht="15" customHeight="1" x14ac:dyDescent="0.25">
      <c r="A25" s="163">
        <v>2.2999999999999998</v>
      </c>
      <c r="B25" s="62" t="s">
        <v>39</v>
      </c>
      <c r="C25" s="167"/>
      <c r="D25" s="179"/>
      <c r="E25" s="179"/>
      <c r="F25" s="180"/>
    </row>
    <row r="26" spans="1:6" ht="15" customHeight="1" x14ac:dyDescent="0.2">
      <c r="A26" s="164" t="s">
        <v>40</v>
      </c>
      <c r="B26" s="127" t="s">
        <v>41</v>
      </c>
      <c r="C26" s="167">
        <v>0</v>
      </c>
      <c r="D26" s="173" t="s">
        <v>11</v>
      </c>
      <c r="E26" s="174">
        <f>ROUNDUP(E14*0.85,0)</f>
        <v>23</v>
      </c>
      <c r="F26" s="170">
        <f t="shared" ref="F26:F30" si="3">C26*E26</f>
        <v>0</v>
      </c>
    </row>
    <row r="27" spans="1:6" ht="15" customHeight="1" x14ac:dyDescent="0.2">
      <c r="A27" s="164" t="s">
        <v>42</v>
      </c>
      <c r="B27" s="127" t="s">
        <v>24</v>
      </c>
      <c r="C27" s="167">
        <f>C26</f>
        <v>0</v>
      </c>
      <c r="D27" s="173" t="s">
        <v>11</v>
      </c>
      <c r="E27" s="174">
        <f>E15</f>
        <v>43</v>
      </c>
      <c r="F27" s="170">
        <f t="shared" si="3"/>
        <v>0</v>
      </c>
    </row>
    <row r="28" spans="1:6" ht="15" customHeight="1" x14ac:dyDescent="0.2">
      <c r="A28" s="164" t="s">
        <v>43</v>
      </c>
      <c r="B28" s="127" t="s">
        <v>44</v>
      </c>
      <c r="C28" s="167">
        <v>0</v>
      </c>
      <c r="D28" s="173" t="s">
        <v>11</v>
      </c>
      <c r="E28" s="174">
        <f>E16</f>
        <v>43</v>
      </c>
      <c r="F28" s="170">
        <f t="shared" si="3"/>
        <v>0</v>
      </c>
    </row>
    <row r="29" spans="1:6" ht="15" customHeight="1" x14ac:dyDescent="0.2">
      <c r="A29" s="164" t="s">
        <v>45</v>
      </c>
      <c r="B29" s="127" t="s">
        <v>28</v>
      </c>
      <c r="C29" s="167">
        <f>C28*0.2</f>
        <v>0</v>
      </c>
      <c r="D29" s="173" t="s">
        <v>11</v>
      </c>
      <c r="E29" s="174">
        <f>E17</f>
        <v>24</v>
      </c>
      <c r="F29" s="170">
        <f t="shared" si="3"/>
        <v>0</v>
      </c>
    </row>
    <row r="30" spans="1:6" ht="15" customHeight="1" x14ac:dyDescent="0.2">
      <c r="A30" s="164" t="s">
        <v>46</v>
      </c>
      <c r="B30" s="127" t="s">
        <v>30</v>
      </c>
      <c r="C30" s="167">
        <f>C28*0.1</f>
        <v>0</v>
      </c>
      <c r="D30" s="173" t="s">
        <v>11</v>
      </c>
      <c r="E30" s="174">
        <f>E18</f>
        <v>110</v>
      </c>
      <c r="F30" s="170">
        <f t="shared" si="3"/>
        <v>0</v>
      </c>
    </row>
    <row r="31" spans="1:6" x14ac:dyDescent="0.25">
      <c r="A31" s="165">
        <v>3</v>
      </c>
      <c r="B31" s="70" t="s">
        <v>47</v>
      </c>
      <c r="C31" s="71"/>
      <c r="D31" s="72"/>
      <c r="E31" s="79"/>
      <c r="F31" s="74">
        <f>SUM(F33:F45)</f>
        <v>247726.5</v>
      </c>
    </row>
    <row r="32" spans="1:6" ht="15" customHeight="1" x14ac:dyDescent="0.25">
      <c r="A32" s="177">
        <v>3.1</v>
      </c>
      <c r="B32" s="62" t="s">
        <v>48</v>
      </c>
      <c r="C32" s="15"/>
      <c r="D32" s="14"/>
      <c r="E32" s="53"/>
      <c r="F32" s="16"/>
    </row>
    <row r="33" spans="1:6" ht="15" customHeight="1" x14ac:dyDescent="0.2">
      <c r="A33" s="178" t="s">
        <v>49</v>
      </c>
      <c r="B33" s="61" t="s">
        <v>50</v>
      </c>
      <c r="C33" s="167">
        <f>89+104+153+137+23+99+108+76+120+37</f>
        <v>946</v>
      </c>
      <c r="D33" s="168" t="s">
        <v>51</v>
      </c>
      <c r="E33" s="169">
        <v>64</v>
      </c>
      <c r="F33" s="170">
        <f t="shared" ref="F33:F35" si="4">SUM(E33*C33)</f>
        <v>60544</v>
      </c>
    </row>
    <row r="34" spans="1:6" ht="15" customHeight="1" x14ac:dyDescent="0.2">
      <c r="A34" s="178" t="s">
        <v>52</v>
      </c>
      <c r="B34" s="61" t="s">
        <v>53</v>
      </c>
      <c r="C34" s="167">
        <v>0</v>
      </c>
      <c r="D34" s="168" t="s">
        <v>51</v>
      </c>
      <c r="E34" s="169">
        <v>61</v>
      </c>
      <c r="F34" s="170">
        <f t="shared" si="4"/>
        <v>0</v>
      </c>
    </row>
    <row r="35" spans="1:6" ht="15" customHeight="1" x14ac:dyDescent="0.2">
      <c r="A35" s="178" t="s">
        <v>54</v>
      </c>
      <c r="B35" s="61" t="s">
        <v>55</v>
      </c>
      <c r="C35" s="167">
        <v>800</v>
      </c>
      <c r="D35" s="168" t="s">
        <v>51</v>
      </c>
      <c r="E35" s="169">
        <v>52</v>
      </c>
      <c r="F35" s="170">
        <f t="shared" si="4"/>
        <v>41600</v>
      </c>
    </row>
    <row r="36" spans="1:6" x14ac:dyDescent="0.25">
      <c r="A36" s="177">
        <v>3.2</v>
      </c>
      <c r="B36" s="62" t="s">
        <v>56</v>
      </c>
      <c r="C36" s="171"/>
      <c r="D36" s="171"/>
      <c r="E36" s="171"/>
      <c r="F36" s="171"/>
    </row>
    <row r="37" spans="1:6" ht="14.25" x14ac:dyDescent="0.2">
      <c r="A37" s="178" t="s">
        <v>57</v>
      </c>
      <c r="B37" s="61" t="s">
        <v>58</v>
      </c>
      <c r="C37" s="167">
        <f>220+125+150+60+24*8+16*8+97*3+8*1.5+63*3+13*1.5</f>
        <v>1386.5</v>
      </c>
      <c r="D37" s="168" t="s">
        <v>11</v>
      </c>
      <c r="E37" s="169">
        <v>70</v>
      </c>
      <c r="F37" s="170">
        <f>SUM(E37*C37)</f>
        <v>97055</v>
      </c>
    </row>
    <row r="38" spans="1:6" ht="15" customHeight="1" x14ac:dyDescent="0.2">
      <c r="A38" s="178" t="s">
        <v>59</v>
      </c>
      <c r="B38" s="61" t="s">
        <v>60</v>
      </c>
      <c r="C38" s="167">
        <f>C37</f>
        <v>1386.5</v>
      </c>
      <c r="D38" s="168" t="s">
        <v>11</v>
      </c>
      <c r="E38" s="169">
        <v>35</v>
      </c>
      <c r="F38" s="170">
        <f>SUM(E38*C38)</f>
        <v>48527.5</v>
      </c>
    </row>
    <row r="39" spans="1:6" ht="15" customHeight="1" x14ac:dyDescent="0.25">
      <c r="A39" s="177">
        <v>3.3</v>
      </c>
      <c r="B39" s="62" t="s">
        <v>61</v>
      </c>
      <c r="E39" s="169"/>
      <c r="F39" s="170"/>
    </row>
    <row r="40" spans="1:6" ht="15" customHeight="1" x14ac:dyDescent="0.2">
      <c r="A40" s="178" t="s">
        <v>62</v>
      </c>
      <c r="B40" s="61" t="s">
        <v>63</v>
      </c>
      <c r="C40" s="167">
        <v>0</v>
      </c>
      <c r="D40" s="168" t="s">
        <v>11</v>
      </c>
      <c r="E40" s="169">
        <f>ROUNDUP(E37*125/150,0)</f>
        <v>59</v>
      </c>
      <c r="F40" s="170">
        <f t="shared" ref="F40:F41" si="5">SUM(E40*C40)</f>
        <v>0</v>
      </c>
    </row>
    <row r="41" spans="1:6" ht="15" customHeight="1" x14ac:dyDescent="0.2">
      <c r="A41" s="178" t="s">
        <v>64</v>
      </c>
      <c r="B41" s="61" t="s">
        <v>65</v>
      </c>
      <c r="C41" s="167">
        <f>C40</f>
        <v>0</v>
      </c>
      <c r="D41" s="168" t="s">
        <v>11</v>
      </c>
      <c r="E41" s="169">
        <f>ROUNDUP(E38*0.8,0)</f>
        <v>28</v>
      </c>
      <c r="F41" s="170">
        <f t="shared" si="5"/>
        <v>0</v>
      </c>
    </row>
    <row r="42" spans="1:6" ht="15" customHeight="1" x14ac:dyDescent="0.25">
      <c r="A42" s="177">
        <v>3.4</v>
      </c>
      <c r="B42" s="62" t="s">
        <v>66</v>
      </c>
      <c r="E42" s="169"/>
      <c r="F42" s="170"/>
    </row>
    <row r="43" spans="1:6" ht="15" customHeight="1" x14ac:dyDescent="0.2">
      <c r="A43" s="178" t="s">
        <v>67</v>
      </c>
      <c r="B43" s="61" t="s">
        <v>63</v>
      </c>
      <c r="C43" s="167">
        <v>0</v>
      </c>
      <c r="D43" s="168" t="s">
        <v>11</v>
      </c>
      <c r="E43" s="169">
        <f>E40</f>
        <v>59</v>
      </c>
      <c r="F43" s="170">
        <f t="shared" ref="F43:F45" si="6">SUM(E43*C43)</f>
        <v>0</v>
      </c>
    </row>
    <row r="44" spans="1:6" ht="14.25" x14ac:dyDescent="0.2">
      <c r="A44" s="178" t="s">
        <v>68</v>
      </c>
      <c r="B44" s="61" t="s">
        <v>65</v>
      </c>
      <c r="C44" s="167">
        <f>C43</f>
        <v>0</v>
      </c>
      <c r="D44" s="168" t="s">
        <v>11</v>
      </c>
      <c r="E44" s="169">
        <f>ROUNDUP(E38*0.8,0)</f>
        <v>28</v>
      </c>
      <c r="F44" s="170">
        <f t="shared" si="6"/>
        <v>0</v>
      </c>
    </row>
    <row r="45" spans="1:6" ht="15" customHeight="1" x14ac:dyDescent="0.2">
      <c r="A45" s="177">
        <v>3.5</v>
      </c>
      <c r="B45" s="61" t="s">
        <v>69</v>
      </c>
      <c r="C45" s="167">
        <v>0</v>
      </c>
      <c r="D45" s="168" t="s">
        <v>14</v>
      </c>
      <c r="E45" s="169">
        <v>650</v>
      </c>
      <c r="F45" s="170">
        <f t="shared" si="6"/>
        <v>0</v>
      </c>
    </row>
    <row r="46" spans="1:6" ht="15" customHeight="1" x14ac:dyDescent="0.25">
      <c r="A46" s="165">
        <v>4</v>
      </c>
      <c r="B46" s="70" t="s">
        <v>70</v>
      </c>
      <c r="C46" s="71"/>
      <c r="D46" s="72"/>
      <c r="E46" s="79"/>
      <c r="F46" s="74">
        <f>SUM(F47:F60)</f>
        <v>266090</v>
      </c>
    </row>
    <row r="47" spans="1:6" ht="15" customHeight="1" x14ac:dyDescent="0.2">
      <c r="A47" s="177">
        <v>4.0999999999999996</v>
      </c>
      <c r="B47" s="61" t="s">
        <v>71</v>
      </c>
      <c r="C47" s="15">
        <v>8</v>
      </c>
      <c r="D47" s="14" t="s">
        <v>14</v>
      </c>
      <c r="E47" s="53">
        <v>4900</v>
      </c>
      <c r="F47" s="16">
        <f t="shared" ref="F47:F63" si="7">E47*C47</f>
        <v>39200</v>
      </c>
    </row>
    <row r="48" spans="1:6" ht="15" customHeight="1" x14ac:dyDescent="0.2">
      <c r="A48" s="177">
        <v>4.2</v>
      </c>
      <c r="B48" s="61" t="s">
        <v>72</v>
      </c>
      <c r="C48" s="15">
        <v>1</v>
      </c>
      <c r="D48" s="14" t="s">
        <v>14</v>
      </c>
      <c r="E48" s="53">
        <v>1650</v>
      </c>
      <c r="F48" s="16">
        <f t="shared" si="7"/>
        <v>1650</v>
      </c>
    </row>
    <row r="49" spans="1:6" ht="15" customHeight="1" x14ac:dyDescent="0.25">
      <c r="A49" s="177">
        <v>4.3</v>
      </c>
      <c r="B49" s="62" t="s">
        <v>73</v>
      </c>
      <c r="C49" s="15"/>
      <c r="D49" s="14"/>
      <c r="E49" s="53"/>
      <c r="F49" s="16"/>
    </row>
    <row r="50" spans="1:6" ht="15" customHeight="1" x14ac:dyDescent="0.2">
      <c r="A50" s="178" t="s">
        <v>74</v>
      </c>
      <c r="B50" s="61" t="s">
        <v>75</v>
      </c>
      <c r="C50" s="15">
        <v>0</v>
      </c>
      <c r="D50" s="14" t="s">
        <v>14</v>
      </c>
      <c r="E50" s="53">
        <v>4200</v>
      </c>
      <c r="F50" s="16">
        <f t="shared" si="7"/>
        <v>0</v>
      </c>
    </row>
    <row r="51" spans="1:6" ht="15" customHeight="1" x14ac:dyDescent="0.2">
      <c r="A51" s="178" t="s">
        <v>76</v>
      </c>
      <c r="B51" s="61" t="s">
        <v>77</v>
      </c>
      <c r="C51" s="15">
        <v>1</v>
      </c>
      <c r="D51" s="14" t="s">
        <v>14</v>
      </c>
      <c r="E51" s="53">
        <v>5300</v>
      </c>
      <c r="F51" s="16">
        <f t="shared" si="7"/>
        <v>5300</v>
      </c>
    </row>
    <row r="52" spans="1:6" ht="15" customHeight="1" x14ac:dyDescent="0.25">
      <c r="A52" s="177">
        <v>4.4000000000000004</v>
      </c>
      <c r="B52" s="62" t="s">
        <v>78</v>
      </c>
      <c r="C52" s="15"/>
      <c r="D52" s="14"/>
      <c r="E52" s="53"/>
      <c r="F52" s="16"/>
    </row>
    <row r="53" spans="1:6" ht="15" customHeight="1" x14ac:dyDescent="0.2">
      <c r="A53" s="178" t="s">
        <v>79</v>
      </c>
      <c r="B53" s="61" t="s">
        <v>80</v>
      </c>
      <c r="C53" s="15">
        <f>12+66+45+14+45+12</f>
        <v>194</v>
      </c>
      <c r="D53" s="14" t="s">
        <v>51</v>
      </c>
      <c r="E53" s="53">
        <v>325</v>
      </c>
      <c r="F53" s="16">
        <f t="shared" si="7"/>
        <v>63050</v>
      </c>
    </row>
    <row r="54" spans="1:6" ht="15" customHeight="1" x14ac:dyDescent="0.2">
      <c r="A54" s="178" t="s">
        <v>81</v>
      </c>
      <c r="B54" s="61" t="s">
        <v>82</v>
      </c>
      <c r="C54" s="15">
        <v>73</v>
      </c>
      <c r="D54" s="14" t="s">
        <v>51</v>
      </c>
      <c r="E54" s="53">
        <v>480</v>
      </c>
      <c r="F54" s="16">
        <f t="shared" si="7"/>
        <v>35040</v>
      </c>
    </row>
    <row r="55" spans="1:6" ht="15" customHeight="1" x14ac:dyDescent="0.2">
      <c r="A55" s="178" t="s">
        <v>83</v>
      </c>
      <c r="B55" s="61" t="s">
        <v>84</v>
      </c>
      <c r="C55" s="15">
        <f>44+29+29+14</f>
        <v>116</v>
      </c>
      <c r="D55" s="14" t="s">
        <v>51</v>
      </c>
      <c r="E55" s="53">
        <v>600</v>
      </c>
      <c r="F55" s="16">
        <f t="shared" si="7"/>
        <v>69600</v>
      </c>
    </row>
    <row r="56" spans="1:6" ht="15" customHeight="1" x14ac:dyDescent="0.2">
      <c r="A56" s="178" t="s">
        <v>85</v>
      </c>
      <c r="B56" s="61" t="s">
        <v>86</v>
      </c>
      <c r="C56" s="15">
        <v>0</v>
      </c>
      <c r="D56" s="14" t="s">
        <v>51</v>
      </c>
      <c r="E56" s="53">
        <v>750</v>
      </c>
      <c r="F56" s="16">
        <f t="shared" si="7"/>
        <v>0</v>
      </c>
    </row>
    <row r="57" spans="1:6" ht="15" customHeight="1" x14ac:dyDescent="0.25">
      <c r="A57" s="177">
        <v>4.5</v>
      </c>
      <c r="B57" s="62" t="s">
        <v>87</v>
      </c>
      <c r="C57" s="15"/>
      <c r="D57" s="14"/>
      <c r="E57" s="53"/>
      <c r="F57" s="16"/>
    </row>
    <row r="58" spans="1:6" ht="15" customHeight="1" x14ac:dyDescent="0.2">
      <c r="A58" s="178" t="s">
        <v>88</v>
      </c>
      <c r="B58" s="61" t="s">
        <v>89</v>
      </c>
      <c r="C58" s="15">
        <v>1</v>
      </c>
      <c r="D58" s="14" t="s">
        <v>14</v>
      </c>
      <c r="E58" s="53">
        <v>3800</v>
      </c>
      <c r="F58" s="16">
        <f t="shared" ref="F58" si="8">E58*C58</f>
        <v>3800</v>
      </c>
    </row>
    <row r="59" spans="1:6" ht="15" customHeight="1" x14ac:dyDescent="0.2">
      <c r="A59" s="177">
        <v>4.5999999999999996</v>
      </c>
      <c r="B59" s="127" t="s">
        <v>90</v>
      </c>
      <c r="C59" s="15">
        <f>C33+C35</f>
        <v>1746</v>
      </c>
      <c r="D59" s="128" t="s">
        <v>51</v>
      </c>
      <c r="E59" s="53">
        <v>25</v>
      </c>
      <c r="F59" s="16">
        <f t="shared" si="7"/>
        <v>43650</v>
      </c>
    </row>
    <row r="60" spans="1:6" ht="15" customHeight="1" x14ac:dyDescent="0.2">
      <c r="A60" s="177">
        <v>4.7</v>
      </c>
      <c r="B60" s="127" t="s">
        <v>91</v>
      </c>
      <c r="C60" s="15">
        <v>12</v>
      </c>
      <c r="D60" s="128" t="s">
        <v>92</v>
      </c>
      <c r="E60" s="53">
        <v>400</v>
      </c>
      <c r="F60" s="16">
        <f t="shared" si="7"/>
        <v>4800</v>
      </c>
    </row>
    <row r="61" spans="1:6" ht="15" customHeight="1" x14ac:dyDescent="0.25">
      <c r="A61" s="165">
        <v>5</v>
      </c>
      <c r="B61" s="70" t="s">
        <v>93</v>
      </c>
      <c r="C61" s="71"/>
      <c r="D61" s="72"/>
      <c r="E61" s="73"/>
      <c r="F61" s="74">
        <f>SUM(F62:F63)</f>
        <v>0</v>
      </c>
    </row>
    <row r="62" spans="1:6" ht="15" customHeight="1" x14ac:dyDescent="0.2">
      <c r="A62" s="177">
        <v>5.0999999999999996</v>
      </c>
      <c r="B62" s="61" t="s">
        <v>94</v>
      </c>
      <c r="C62" s="167">
        <v>0</v>
      </c>
      <c r="D62" s="14" t="s">
        <v>14</v>
      </c>
      <c r="E62" s="53">
        <v>280000</v>
      </c>
      <c r="F62" s="16">
        <f t="shared" si="7"/>
        <v>0</v>
      </c>
    </row>
    <row r="63" spans="1:6" ht="15" customHeight="1" x14ac:dyDescent="0.2">
      <c r="A63" s="177">
        <v>5.2</v>
      </c>
      <c r="B63" s="61" t="s">
        <v>95</v>
      </c>
      <c r="C63" s="167">
        <v>0</v>
      </c>
      <c r="D63" s="14" t="s">
        <v>14</v>
      </c>
      <c r="E63" s="53"/>
      <c r="F63" s="16">
        <f t="shared" si="7"/>
        <v>0</v>
      </c>
    </row>
    <row r="64" spans="1:6" ht="15" customHeight="1" x14ac:dyDescent="0.25">
      <c r="A64" s="165">
        <v>6</v>
      </c>
      <c r="B64" s="70" t="s">
        <v>96</v>
      </c>
      <c r="C64" s="71"/>
      <c r="D64" s="72"/>
      <c r="E64" s="79"/>
      <c r="F64" s="74">
        <f>SUM(F65:F67)</f>
        <v>25675</v>
      </c>
    </row>
    <row r="65" spans="1:6" ht="15" customHeight="1" x14ac:dyDescent="0.2">
      <c r="A65" s="177">
        <v>6.1</v>
      </c>
      <c r="B65" s="61" t="s">
        <v>97</v>
      </c>
      <c r="C65" s="15">
        <v>40</v>
      </c>
      <c r="D65" s="14" t="s">
        <v>14</v>
      </c>
      <c r="E65" s="53">
        <v>50</v>
      </c>
      <c r="F65" s="16">
        <f t="shared" ref="F65:F71" si="9">E65*C65</f>
        <v>2000</v>
      </c>
    </row>
    <row r="66" spans="1:6" ht="15" customHeight="1" x14ac:dyDescent="0.2">
      <c r="A66" s="177">
        <v>6.2</v>
      </c>
      <c r="B66" s="61" t="s">
        <v>98</v>
      </c>
      <c r="C66" s="15">
        <v>50</v>
      </c>
      <c r="D66" s="14" t="s">
        <v>11</v>
      </c>
      <c r="E66" s="53">
        <v>60</v>
      </c>
      <c r="F66" s="16">
        <f t="shared" si="9"/>
        <v>3000</v>
      </c>
    </row>
    <row r="67" spans="1:6" ht="15" customHeight="1" x14ac:dyDescent="0.2">
      <c r="A67" s="177">
        <v>6.3</v>
      </c>
      <c r="B67" s="61" t="s">
        <v>99</v>
      </c>
      <c r="C67" s="15">
        <f>1320+50+1000+700+900+500+1200+1100+600+12*75</f>
        <v>8270</v>
      </c>
      <c r="D67" s="14" t="s">
        <v>11</v>
      </c>
      <c r="E67" s="53">
        <v>2.5</v>
      </c>
      <c r="F67" s="16">
        <f t="shared" si="9"/>
        <v>20675</v>
      </c>
    </row>
    <row r="68" spans="1:6" ht="15" customHeight="1" x14ac:dyDescent="0.25">
      <c r="A68" s="165">
        <v>7</v>
      </c>
      <c r="B68" s="70" t="s">
        <v>100</v>
      </c>
      <c r="C68" s="71"/>
      <c r="D68" s="72"/>
      <c r="E68" s="73"/>
      <c r="F68" s="74">
        <f>SUM(F69:F72)</f>
        <v>220800</v>
      </c>
    </row>
    <row r="69" spans="1:6" ht="15" customHeight="1" x14ac:dyDescent="0.2">
      <c r="A69" s="177">
        <v>7.1</v>
      </c>
      <c r="B69" s="61" t="s">
        <v>101</v>
      </c>
      <c r="C69" s="15">
        <v>0</v>
      </c>
      <c r="D69" s="14" t="s">
        <v>14</v>
      </c>
      <c r="E69" s="53">
        <v>100000</v>
      </c>
      <c r="F69" s="16">
        <f t="shared" si="9"/>
        <v>0</v>
      </c>
    </row>
    <row r="70" spans="1:6" ht="15" customHeight="1" x14ac:dyDescent="0.2">
      <c r="A70" s="177">
        <v>7.2</v>
      </c>
      <c r="B70" s="61" t="s">
        <v>102</v>
      </c>
      <c r="C70" s="184">
        <v>1.5</v>
      </c>
      <c r="D70" s="14" t="s">
        <v>14</v>
      </c>
      <c r="E70" s="53">
        <v>80000</v>
      </c>
      <c r="F70" s="16">
        <f t="shared" si="9"/>
        <v>120000</v>
      </c>
    </row>
    <row r="71" spans="1:6" ht="15" customHeight="1" x14ac:dyDescent="0.2">
      <c r="A71" s="177">
        <v>7.3</v>
      </c>
      <c r="B71" s="61" t="s">
        <v>103</v>
      </c>
      <c r="C71" s="15">
        <v>450</v>
      </c>
      <c r="D71" s="14" t="s">
        <v>51</v>
      </c>
      <c r="E71" s="53">
        <v>160</v>
      </c>
      <c r="F71" s="16">
        <f t="shared" si="9"/>
        <v>72000</v>
      </c>
    </row>
    <row r="72" spans="1:6" ht="15" customHeight="1" x14ac:dyDescent="0.2">
      <c r="A72" s="177">
        <v>7.4</v>
      </c>
      <c r="B72" s="61" t="s">
        <v>104</v>
      </c>
      <c r="C72" s="15">
        <v>15</v>
      </c>
      <c r="D72" s="14" t="s">
        <v>105</v>
      </c>
      <c r="E72" s="53">
        <f>SUM(F69:F71)</f>
        <v>192000</v>
      </c>
      <c r="F72" s="16">
        <f>E72*C72/100</f>
        <v>28800</v>
      </c>
    </row>
    <row r="73" spans="1:6" ht="15" customHeight="1" x14ac:dyDescent="0.25">
      <c r="A73" s="165">
        <v>8</v>
      </c>
      <c r="B73" s="70" t="s">
        <v>106</v>
      </c>
      <c r="C73" s="71"/>
      <c r="D73" s="72"/>
      <c r="E73" s="73"/>
      <c r="F73" s="74">
        <f>SUM(F74:F79)</f>
        <v>79041.691399999996</v>
      </c>
    </row>
    <row r="74" spans="1:6" ht="15" customHeight="1" x14ac:dyDescent="0.2">
      <c r="A74" s="177">
        <v>8.1</v>
      </c>
      <c r="B74" s="61" t="s">
        <v>107</v>
      </c>
      <c r="C74" s="15">
        <v>1</v>
      </c>
      <c r="D74" s="14" t="s">
        <v>14</v>
      </c>
      <c r="E74" s="53">
        <v>20000</v>
      </c>
      <c r="F74" s="16">
        <f t="shared" ref="F74:F76" si="10">C74*E74</f>
        <v>20000</v>
      </c>
    </row>
    <row r="75" spans="1:6" ht="15" customHeight="1" x14ac:dyDescent="0.2">
      <c r="A75" s="177">
        <v>8.1999999999999993</v>
      </c>
      <c r="B75" s="61" t="s">
        <v>108</v>
      </c>
      <c r="C75" s="15">
        <f>21+5+4</f>
        <v>30</v>
      </c>
      <c r="D75" s="14" t="s">
        <v>14</v>
      </c>
      <c r="E75" s="53">
        <v>280</v>
      </c>
      <c r="F75" s="16">
        <f t="shared" si="10"/>
        <v>8400</v>
      </c>
    </row>
    <row r="76" spans="1:6" ht="15" customHeight="1" x14ac:dyDescent="0.2">
      <c r="A76" s="177">
        <v>8.3000000000000007</v>
      </c>
      <c r="B76" s="61" t="s">
        <v>109</v>
      </c>
      <c r="C76" s="15">
        <v>1</v>
      </c>
      <c r="D76" s="14" t="s">
        <v>14</v>
      </c>
      <c r="E76" s="53">
        <f>0.015*(F46+F31+F12)</f>
        <v>24710.4414</v>
      </c>
      <c r="F76" s="16">
        <f t="shared" si="10"/>
        <v>24710.4414</v>
      </c>
    </row>
    <row r="77" spans="1:6" ht="15" customHeight="1" x14ac:dyDescent="0.2">
      <c r="A77" s="177">
        <v>8.4</v>
      </c>
      <c r="B77" s="61" t="s">
        <v>110</v>
      </c>
      <c r="C77" s="15">
        <v>1</v>
      </c>
      <c r="D77" s="14" t="s">
        <v>14</v>
      </c>
      <c r="E77" s="53">
        <f>0.15*F64</f>
        <v>3851.25</v>
      </c>
      <c r="F77" s="16">
        <f>C77*E77</f>
        <v>3851.25</v>
      </c>
    </row>
    <row r="78" spans="1:6" ht="15" customHeight="1" x14ac:dyDescent="0.2">
      <c r="A78" s="177">
        <v>8.5</v>
      </c>
      <c r="B78" s="61" t="s">
        <v>111</v>
      </c>
      <c r="C78" s="15">
        <v>10</v>
      </c>
      <c r="D78" s="14" t="s">
        <v>112</v>
      </c>
      <c r="E78" s="53">
        <f>F62*0.015</f>
        <v>0</v>
      </c>
      <c r="F78" s="16">
        <f>C78*E78</f>
        <v>0</v>
      </c>
    </row>
    <row r="79" spans="1:6" ht="15" customHeight="1" x14ac:dyDescent="0.2">
      <c r="A79" s="177">
        <v>8.6</v>
      </c>
      <c r="B79" s="61" t="s">
        <v>113</v>
      </c>
      <c r="C79" s="15">
        <v>1</v>
      </c>
      <c r="D79" s="14" t="s">
        <v>14</v>
      </c>
      <c r="E79" s="53">
        <f>0.1*F68</f>
        <v>22080</v>
      </c>
      <c r="F79" s="16">
        <f>C79*E79</f>
        <v>22080</v>
      </c>
    </row>
    <row r="80" spans="1:6" ht="15" customHeight="1" x14ac:dyDescent="0.25">
      <c r="A80" s="165">
        <v>9</v>
      </c>
      <c r="B80" s="70" t="s">
        <v>114</v>
      </c>
      <c r="C80" s="71"/>
      <c r="D80" s="72"/>
      <c r="E80" s="73"/>
      <c r="F80" s="74">
        <f>SUM(F81:F83)</f>
        <v>15000</v>
      </c>
    </row>
    <row r="81" spans="1:6" ht="28.5" x14ac:dyDescent="0.2">
      <c r="A81" s="177">
        <v>9.1</v>
      </c>
      <c r="B81" s="61" t="s">
        <v>130</v>
      </c>
      <c r="C81" s="15">
        <v>1</v>
      </c>
      <c r="D81" s="14" t="s">
        <v>14</v>
      </c>
      <c r="E81" s="53">
        <v>15000</v>
      </c>
      <c r="F81" s="16">
        <f t="shared" ref="F81" si="11">C81*E81</f>
        <v>15000</v>
      </c>
    </row>
    <row r="82" spans="1:6" ht="15" customHeight="1" x14ac:dyDescent="0.2">
      <c r="A82" s="177"/>
      <c r="B82" s="61"/>
      <c r="C82" s="15"/>
      <c r="D82" s="14"/>
      <c r="E82" s="53"/>
      <c r="F82" s="16"/>
    </row>
    <row r="83" spans="1:6" ht="15" customHeight="1" x14ac:dyDescent="0.2">
      <c r="A83" s="177"/>
      <c r="B83" s="61"/>
      <c r="C83" s="15"/>
      <c r="D83" s="14"/>
      <c r="E83" s="53"/>
      <c r="F83" s="16"/>
    </row>
    <row r="84" spans="1:6" ht="15" customHeight="1" x14ac:dyDescent="0.25">
      <c r="A84" s="92"/>
      <c r="B84" s="160" t="s">
        <v>115</v>
      </c>
      <c r="C84" s="75"/>
      <c r="D84" s="76"/>
      <c r="E84" s="83"/>
      <c r="F84" s="181">
        <f>SUM(F5,F12,F31,F46,F61,F64,F68,F73,F80)</f>
        <v>2274772.3355</v>
      </c>
    </row>
    <row r="85" spans="1:6" ht="15" customHeight="1" x14ac:dyDescent="0.25">
      <c r="A85" s="165">
        <v>10</v>
      </c>
      <c r="B85" s="70" t="s">
        <v>116</v>
      </c>
      <c r="C85" s="71"/>
      <c r="D85" s="72"/>
      <c r="E85" s="73"/>
      <c r="F85" s="74"/>
    </row>
    <row r="86" spans="1:6" ht="15" customHeight="1" x14ac:dyDescent="0.2">
      <c r="A86" s="177">
        <v>10.1</v>
      </c>
      <c r="B86" s="61" t="s">
        <v>117</v>
      </c>
      <c r="C86" s="166">
        <v>3.25</v>
      </c>
      <c r="D86" s="14" t="s">
        <v>105</v>
      </c>
      <c r="E86" s="175"/>
      <c r="F86" s="176">
        <f>C86%*F$84</f>
        <v>73930.100903750004</v>
      </c>
    </row>
    <row r="87" spans="1:6" ht="15" customHeight="1" x14ac:dyDescent="0.2">
      <c r="A87" s="177">
        <v>10.199999999999999</v>
      </c>
      <c r="B87" s="61" t="s">
        <v>118</v>
      </c>
      <c r="C87" s="166">
        <v>1</v>
      </c>
      <c r="D87" s="14" t="s">
        <v>105</v>
      </c>
      <c r="E87" s="175"/>
      <c r="F87" s="176">
        <f t="shared" ref="F87:F93" si="12">C87%*F$84</f>
        <v>22747.723355000002</v>
      </c>
    </row>
    <row r="88" spans="1:6" ht="15" customHeight="1" x14ac:dyDescent="0.2">
      <c r="A88" s="177">
        <v>10.3</v>
      </c>
      <c r="B88" s="61" t="s">
        <v>119</v>
      </c>
      <c r="C88" s="166">
        <v>5</v>
      </c>
      <c r="D88" s="14" t="s">
        <v>105</v>
      </c>
      <c r="E88" s="175"/>
      <c r="F88" s="176">
        <f t="shared" si="12"/>
        <v>113738.616775</v>
      </c>
    </row>
    <row r="89" spans="1:6" ht="15" customHeight="1" x14ac:dyDescent="0.2">
      <c r="A89" s="177">
        <v>10.4</v>
      </c>
      <c r="B89" s="61" t="s">
        <v>120</v>
      </c>
      <c r="C89" s="166">
        <v>0.5</v>
      </c>
      <c r="D89" s="14" t="s">
        <v>105</v>
      </c>
      <c r="E89" s="175"/>
      <c r="F89" s="176">
        <f t="shared" si="12"/>
        <v>11373.861677500001</v>
      </c>
    </row>
    <row r="90" spans="1:6" ht="15" customHeight="1" x14ac:dyDescent="0.2">
      <c r="A90" s="177">
        <v>10.5</v>
      </c>
      <c r="B90" s="61" t="s">
        <v>121</v>
      </c>
      <c r="C90" s="166">
        <v>5</v>
      </c>
      <c r="D90" s="14" t="s">
        <v>105</v>
      </c>
      <c r="E90" s="175"/>
      <c r="F90" s="176">
        <f t="shared" si="12"/>
        <v>113738.616775</v>
      </c>
    </row>
    <row r="91" spans="1:6" ht="15" customHeight="1" x14ac:dyDescent="0.2">
      <c r="A91" s="177">
        <v>10.6</v>
      </c>
      <c r="B91" s="61" t="s">
        <v>122</v>
      </c>
      <c r="C91" s="166">
        <v>9</v>
      </c>
      <c r="D91" s="14" t="s">
        <v>105</v>
      </c>
      <c r="E91" s="175"/>
      <c r="F91" s="176">
        <f t="shared" si="12"/>
        <v>204729.51019500001</v>
      </c>
    </row>
    <row r="92" spans="1:6" ht="15" customHeight="1" x14ac:dyDescent="0.2">
      <c r="A92" s="177">
        <v>10.7</v>
      </c>
      <c r="B92" s="61" t="s">
        <v>123</v>
      </c>
      <c r="C92" s="166">
        <v>2.5</v>
      </c>
      <c r="D92" s="14" t="s">
        <v>105</v>
      </c>
      <c r="E92" s="175"/>
      <c r="F92" s="176">
        <f t="shared" si="12"/>
        <v>56869.308387500001</v>
      </c>
    </row>
    <row r="93" spans="1:6" ht="15" customHeight="1" x14ac:dyDescent="0.2">
      <c r="A93" s="177">
        <v>10.8</v>
      </c>
      <c r="B93" s="61" t="s">
        <v>124</v>
      </c>
      <c r="C93" s="166">
        <v>15</v>
      </c>
      <c r="D93" s="14" t="s">
        <v>105</v>
      </c>
      <c r="E93" s="175"/>
      <c r="F93" s="176">
        <f t="shared" si="12"/>
        <v>341215.85032500001</v>
      </c>
    </row>
    <row r="94" spans="1:6" ht="15" customHeight="1" x14ac:dyDescent="0.25">
      <c r="A94" s="92"/>
      <c r="B94" s="160" t="s">
        <v>125</v>
      </c>
      <c r="C94" s="75"/>
      <c r="D94" s="76"/>
      <c r="E94" s="83"/>
      <c r="F94" s="181">
        <f>SUM(F84:F93)</f>
        <v>3213115.9238937502</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00000"/>
  </sheetPr>
  <dimension ref="A1:F94"/>
  <sheetViews>
    <sheetView workbookViewId="0">
      <selection activeCell="J35" sqref="J35"/>
    </sheetView>
  </sheetViews>
  <sheetFormatPr defaultColWidth="9.140625" defaultRowHeight="15" customHeight="1" x14ac:dyDescent="0.2"/>
  <cols>
    <col min="1" max="1" width="12.7109375" style="162" customWidth="1"/>
    <col min="2" max="2" width="50.7109375" style="162" customWidth="1"/>
    <col min="3" max="4" width="12.7109375" style="162" customWidth="1"/>
    <col min="5" max="6" width="15.7109375" style="162" customWidth="1"/>
    <col min="7" max="16384" width="9.140625" style="162"/>
  </cols>
  <sheetData>
    <row r="1" spans="1:6" ht="15" customHeight="1" x14ac:dyDescent="0.25">
      <c r="A1" s="1" t="s">
        <v>0</v>
      </c>
      <c r="F1" s="161">
        <v>43544</v>
      </c>
    </row>
    <row r="2" spans="1:6" ht="15" customHeight="1" x14ac:dyDescent="0.25">
      <c r="A2" s="1" t="s">
        <v>145</v>
      </c>
    </row>
    <row r="3" spans="1:6" ht="15" customHeight="1" x14ac:dyDescent="0.25">
      <c r="A3" s="1" t="s">
        <v>144</v>
      </c>
    </row>
    <row r="4" spans="1:6" ht="30" x14ac:dyDescent="0.2">
      <c r="A4" s="182" t="s">
        <v>2</v>
      </c>
      <c r="B4" s="182" t="s">
        <v>3</v>
      </c>
      <c r="C4" s="182" t="s">
        <v>4</v>
      </c>
      <c r="D4" s="182" t="s">
        <v>5</v>
      </c>
      <c r="E4" s="183" t="s">
        <v>6</v>
      </c>
      <c r="F4" s="183" t="s">
        <v>7</v>
      </c>
    </row>
    <row r="5" spans="1:6" ht="15" customHeight="1" x14ac:dyDescent="0.25">
      <c r="A5" s="165">
        <v>1</v>
      </c>
      <c r="B5" s="70" t="s">
        <v>8</v>
      </c>
      <c r="C5" s="71"/>
      <c r="D5" s="72"/>
      <c r="E5" s="79"/>
      <c r="F5" s="74">
        <f>SUM(F6:F11)</f>
        <v>325377.27899999998</v>
      </c>
    </row>
    <row r="6" spans="1:6" ht="15" customHeight="1" x14ac:dyDescent="0.2">
      <c r="A6" s="177">
        <v>1.1000000000000001</v>
      </c>
      <c r="B6" s="127" t="s">
        <v>9</v>
      </c>
      <c r="C6" s="167">
        <f>C7</f>
        <v>4117.92</v>
      </c>
      <c r="D6" s="173" t="s">
        <v>11</v>
      </c>
      <c r="E6" s="174">
        <v>5</v>
      </c>
      <c r="F6" s="170">
        <f t="shared" ref="F6:F11" si="0">C6*E6</f>
        <v>20589.599999999999</v>
      </c>
    </row>
    <row r="7" spans="1:6" ht="15" customHeight="1" x14ac:dyDescent="0.2">
      <c r="A7" s="177">
        <v>1.2</v>
      </c>
      <c r="B7" s="127" t="s">
        <v>12</v>
      </c>
      <c r="C7" s="167">
        <f>ROUNDUP(C33/2*5,0)+C43+C40+(C14+C20+C26)*0.2</f>
        <v>4117.92</v>
      </c>
      <c r="D7" s="173" t="s">
        <v>11</v>
      </c>
      <c r="E7" s="174">
        <v>7</v>
      </c>
      <c r="F7" s="170">
        <f t="shared" si="0"/>
        <v>28825.440000000002</v>
      </c>
    </row>
    <row r="8" spans="1:6" ht="15" customHeight="1" x14ac:dyDescent="0.2">
      <c r="A8" s="177">
        <v>1.3</v>
      </c>
      <c r="B8" s="127" t="s">
        <v>13</v>
      </c>
      <c r="C8" s="167">
        <v>1</v>
      </c>
      <c r="D8" s="173" t="s">
        <v>14</v>
      </c>
      <c r="E8" s="174">
        <v>2000</v>
      </c>
      <c r="F8" s="170">
        <f t="shared" si="0"/>
        <v>2000</v>
      </c>
    </row>
    <row r="9" spans="1:6" ht="15" customHeight="1" x14ac:dyDescent="0.2">
      <c r="A9" s="177">
        <v>1.4</v>
      </c>
      <c r="B9" s="127" t="s">
        <v>15</v>
      </c>
      <c r="C9" s="167">
        <v>1</v>
      </c>
      <c r="D9" s="173" t="s">
        <v>14</v>
      </c>
      <c r="E9" s="174">
        <v>15000</v>
      </c>
      <c r="F9" s="170">
        <f t="shared" si="0"/>
        <v>15000</v>
      </c>
    </row>
    <row r="10" spans="1:6" ht="15" customHeight="1" x14ac:dyDescent="0.2">
      <c r="A10" s="177">
        <v>1.5</v>
      </c>
      <c r="B10" s="127" t="s">
        <v>16</v>
      </c>
      <c r="C10" s="167">
        <f>(C16*0.4+C37*0.25+C43*0.175+C17*0.3)*0.6+1200</f>
        <v>4289.8829999999998</v>
      </c>
      <c r="D10" s="173" t="s">
        <v>17</v>
      </c>
      <c r="E10" s="174">
        <v>45</v>
      </c>
      <c r="F10" s="170">
        <f t="shared" si="0"/>
        <v>193044.73499999999</v>
      </c>
    </row>
    <row r="11" spans="1:6" ht="15" customHeight="1" x14ac:dyDescent="0.2">
      <c r="A11" s="177">
        <v>1.6</v>
      </c>
      <c r="B11" s="127" t="s">
        <v>18</v>
      </c>
      <c r="C11" s="167">
        <f>(C16*0.4+C37*0.25+C43*0.175+C17*0.3)*0.4</f>
        <v>2059.922</v>
      </c>
      <c r="D11" s="173" t="s">
        <v>17</v>
      </c>
      <c r="E11" s="174">
        <v>32</v>
      </c>
      <c r="F11" s="170">
        <f t="shared" si="0"/>
        <v>65917.504000000001</v>
      </c>
    </row>
    <row r="12" spans="1:6" ht="15" customHeight="1" x14ac:dyDescent="0.25">
      <c r="A12" s="165">
        <v>2</v>
      </c>
      <c r="B12" s="70" t="s">
        <v>19</v>
      </c>
      <c r="C12" s="71"/>
      <c r="D12" s="72"/>
      <c r="E12" s="79"/>
      <c r="F12" s="74">
        <f>SUM(F14:F30)</f>
        <v>1254684.8999999999</v>
      </c>
    </row>
    <row r="13" spans="1:6" ht="15" customHeight="1" x14ac:dyDescent="0.25">
      <c r="A13" s="163">
        <v>2.1</v>
      </c>
      <c r="B13" s="62" t="s">
        <v>20</v>
      </c>
      <c r="C13" s="167"/>
      <c r="D13" s="168"/>
      <c r="E13" s="172"/>
      <c r="F13" s="170"/>
    </row>
    <row r="14" spans="1:6" ht="15" customHeight="1" x14ac:dyDescent="0.2">
      <c r="A14" s="164" t="s">
        <v>21</v>
      </c>
      <c r="B14" s="127" t="s">
        <v>22</v>
      </c>
      <c r="C14" s="167">
        <f>1140+4*6.7+15*5+5.8*4.5+4.9*3+40+7*5+18*4.5+10*6+7*4+88*5.1+50+92*4.3+40*1.5+38*8+30+38*9+22*8.5+21*9+21*7+23*4.8+98*5.55+32*2+23*3.6+2*26+82*7+40*6+40+83*12.5+49*2+38*16+82*7+82*6.25+70+77*12.5</f>
        <v>9249.6</v>
      </c>
      <c r="D14" s="173" t="s">
        <v>11</v>
      </c>
      <c r="E14" s="174">
        <v>27</v>
      </c>
      <c r="F14" s="170">
        <f t="shared" ref="F14:F18" si="1">C14*E14</f>
        <v>249739.2</v>
      </c>
    </row>
    <row r="15" spans="1:6" ht="15" customHeight="1" x14ac:dyDescent="0.2">
      <c r="A15" s="164" t="s">
        <v>23</v>
      </c>
      <c r="B15" s="127" t="s">
        <v>24</v>
      </c>
      <c r="C15" s="167">
        <f>C14</f>
        <v>9249.6</v>
      </c>
      <c r="D15" s="173" t="s">
        <v>11</v>
      </c>
      <c r="E15" s="174">
        <f>ROUNDUP(32*100/75,0)</f>
        <v>43</v>
      </c>
      <c r="F15" s="170">
        <f t="shared" si="1"/>
        <v>397732.8</v>
      </c>
    </row>
    <row r="16" spans="1:6" ht="15" customHeight="1" x14ac:dyDescent="0.2">
      <c r="A16" s="164" t="s">
        <v>25</v>
      </c>
      <c r="B16" s="127" t="s">
        <v>26</v>
      </c>
      <c r="C16" s="167">
        <f>C15+(C35*0.45)+(C33*0.75)</f>
        <v>10326.75</v>
      </c>
      <c r="D16" s="173" t="s">
        <v>11</v>
      </c>
      <c r="E16" s="174">
        <f>ROUNDUP(18*260/110,0)</f>
        <v>43</v>
      </c>
      <c r="F16" s="170">
        <f t="shared" si="1"/>
        <v>444050.25</v>
      </c>
    </row>
    <row r="17" spans="1:6" ht="15" customHeight="1" x14ac:dyDescent="0.2">
      <c r="A17" s="164" t="s">
        <v>27</v>
      </c>
      <c r="B17" s="127" t="s">
        <v>28</v>
      </c>
      <c r="C17" s="167">
        <f>C16*0.2</f>
        <v>2065.35</v>
      </c>
      <c r="D17" s="173" t="s">
        <v>11</v>
      </c>
      <c r="E17" s="174">
        <v>24</v>
      </c>
      <c r="F17" s="170">
        <f t="shared" si="1"/>
        <v>49568.399999999994</v>
      </c>
    </row>
    <row r="18" spans="1:6" ht="15" customHeight="1" x14ac:dyDescent="0.2">
      <c r="A18" s="164" t="s">
        <v>29</v>
      </c>
      <c r="B18" s="127" t="s">
        <v>30</v>
      </c>
      <c r="C18" s="167">
        <f>C16*0.1</f>
        <v>1032.675</v>
      </c>
      <c r="D18" s="173" t="s">
        <v>11</v>
      </c>
      <c r="E18" s="174">
        <v>110</v>
      </c>
      <c r="F18" s="170">
        <f t="shared" si="1"/>
        <v>113594.25</v>
      </c>
    </row>
    <row r="19" spans="1:6" ht="15" customHeight="1" x14ac:dyDescent="0.25">
      <c r="A19" s="163">
        <v>2.2000000000000002</v>
      </c>
      <c r="B19" s="62" t="s">
        <v>31</v>
      </c>
      <c r="C19" s="167"/>
      <c r="D19" s="168"/>
      <c r="E19" s="172"/>
      <c r="F19" s="170"/>
    </row>
    <row r="20" spans="1:6" ht="15" customHeight="1" x14ac:dyDescent="0.2">
      <c r="A20" s="164" t="s">
        <v>32</v>
      </c>
      <c r="B20" s="127" t="s">
        <v>22</v>
      </c>
      <c r="C20" s="167">
        <v>0</v>
      </c>
      <c r="D20" s="173" t="s">
        <v>11</v>
      </c>
      <c r="E20" s="174">
        <v>27</v>
      </c>
      <c r="F20" s="170">
        <f t="shared" ref="F20:F24" si="2">C20*E20</f>
        <v>0</v>
      </c>
    </row>
    <row r="21" spans="1:6" ht="15" customHeight="1" x14ac:dyDescent="0.2">
      <c r="A21" s="164" t="s">
        <v>33</v>
      </c>
      <c r="B21" s="127" t="s">
        <v>34</v>
      </c>
      <c r="C21" s="167">
        <f>C20</f>
        <v>0</v>
      </c>
      <c r="D21" s="173" t="s">
        <v>11</v>
      </c>
      <c r="E21" s="174">
        <f>ROUNDUP(32*150/75,0)</f>
        <v>64</v>
      </c>
      <c r="F21" s="170">
        <f t="shared" si="2"/>
        <v>0</v>
      </c>
    </row>
    <row r="22" spans="1:6" ht="15" customHeight="1" x14ac:dyDescent="0.2">
      <c r="A22" s="164" t="s">
        <v>35</v>
      </c>
      <c r="B22" s="127" t="s">
        <v>36</v>
      </c>
      <c r="C22" s="167">
        <v>0</v>
      </c>
      <c r="D22" s="173" t="s">
        <v>11</v>
      </c>
      <c r="E22" s="174">
        <f>ROUNDUP(18*300/110,0)</f>
        <v>50</v>
      </c>
      <c r="F22" s="170">
        <f t="shared" si="2"/>
        <v>0</v>
      </c>
    </row>
    <row r="23" spans="1:6" ht="15" customHeight="1" x14ac:dyDescent="0.2">
      <c r="A23" s="164" t="s">
        <v>37</v>
      </c>
      <c r="B23" s="127" t="s">
        <v>28</v>
      </c>
      <c r="C23" s="167">
        <f>C22*0.2</f>
        <v>0</v>
      </c>
      <c r="D23" s="173" t="s">
        <v>11</v>
      </c>
      <c r="E23" s="174">
        <v>24</v>
      </c>
      <c r="F23" s="170">
        <f t="shared" si="2"/>
        <v>0</v>
      </c>
    </row>
    <row r="24" spans="1:6" ht="15" customHeight="1" x14ac:dyDescent="0.2">
      <c r="A24" s="164" t="s">
        <v>38</v>
      </c>
      <c r="B24" s="127" t="s">
        <v>30</v>
      </c>
      <c r="C24" s="167">
        <f>C22*0.1</f>
        <v>0</v>
      </c>
      <c r="D24" s="173" t="s">
        <v>11</v>
      </c>
      <c r="E24" s="174">
        <v>110</v>
      </c>
      <c r="F24" s="170">
        <f t="shared" si="2"/>
        <v>0</v>
      </c>
    </row>
    <row r="25" spans="1:6" ht="15" customHeight="1" x14ac:dyDescent="0.25">
      <c r="A25" s="163">
        <v>2.2999999999999998</v>
      </c>
      <c r="B25" s="62" t="s">
        <v>39</v>
      </c>
      <c r="C25" s="167"/>
      <c r="D25" s="179"/>
      <c r="E25" s="179"/>
      <c r="F25" s="180"/>
    </row>
    <row r="26" spans="1:6" ht="15" customHeight="1" x14ac:dyDescent="0.2">
      <c r="A26" s="164" t="s">
        <v>40</v>
      </c>
      <c r="B26" s="127" t="s">
        <v>41</v>
      </c>
      <c r="C26" s="167">
        <v>0</v>
      </c>
      <c r="D26" s="173" t="s">
        <v>11</v>
      </c>
      <c r="E26" s="174">
        <f>ROUNDUP(E14*0.85,0)</f>
        <v>23</v>
      </c>
      <c r="F26" s="170">
        <f t="shared" ref="F26:F30" si="3">C26*E26</f>
        <v>0</v>
      </c>
    </row>
    <row r="27" spans="1:6" ht="15" customHeight="1" x14ac:dyDescent="0.2">
      <c r="A27" s="164" t="s">
        <v>42</v>
      </c>
      <c r="B27" s="127" t="s">
        <v>24</v>
      </c>
      <c r="C27" s="167">
        <f>C26</f>
        <v>0</v>
      </c>
      <c r="D27" s="173" t="s">
        <v>11</v>
      </c>
      <c r="E27" s="174">
        <f>E15</f>
        <v>43</v>
      </c>
      <c r="F27" s="170">
        <f t="shared" si="3"/>
        <v>0</v>
      </c>
    </row>
    <row r="28" spans="1:6" ht="15" customHeight="1" x14ac:dyDescent="0.2">
      <c r="A28" s="164" t="s">
        <v>43</v>
      </c>
      <c r="B28" s="127" t="s">
        <v>44</v>
      </c>
      <c r="C28" s="167">
        <v>0</v>
      </c>
      <c r="D28" s="173" t="s">
        <v>11</v>
      </c>
      <c r="E28" s="174">
        <f>E16</f>
        <v>43</v>
      </c>
      <c r="F28" s="170">
        <f t="shared" si="3"/>
        <v>0</v>
      </c>
    </row>
    <row r="29" spans="1:6" ht="15" customHeight="1" x14ac:dyDescent="0.2">
      <c r="A29" s="164" t="s">
        <v>45</v>
      </c>
      <c r="B29" s="127" t="s">
        <v>28</v>
      </c>
      <c r="C29" s="167">
        <f>C28*0.2</f>
        <v>0</v>
      </c>
      <c r="D29" s="173" t="s">
        <v>11</v>
      </c>
      <c r="E29" s="174">
        <f>E17</f>
        <v>24</v>
      </c>
      <c r="F29" s="170">
        <f t="shared" si="3"/>
        <v>0</v>
      </c>
    </row>
    <row r="30" spans="1:6" ht="15" customHeight="1" x14ac:dyDescent="0.2">
      <c r="A30" s="164" t="s">
        <v>46</v>
      </c>
      <c r="B30" s="127" t="s">
        <v>30</v>
      </c>
      <c r="C30" s="167">
        <f>C28*0.1</f>
        <v>0</v>
      </c>
      <c r="D30" s="173" t="s">
        <v>11</v>
      </c>
      <c r="E30" s="174">
        <f>E18</f>
        <v>110</v>
      </c>
      <c r="F30" s="170">
        <f t="shared" si="3"/>
        <v>0</v>
      </c>
    </row>
    <row r="31" spans="1:6" x14ac:dyDescent="0.25">
      <c r="A31" s="165">
        <v>3</v>
      </c>
      <c r="B31" s="70" t="s">
        <v>47</v>
      </c>
      <c r="C31" s="71"/>
      <c r="D31" s="72"/>
      <c r="E31" s="79"/>
      <c r="F31" s="74">
        <f>SUM(F33:F45)</f>
        <v>271702</v>
      </c>
    </row>
    <row r="32" spans="1:6" ht="15" customHeight="1" x14ac:dyDescent="0.25">
      <c r="A32" s="177">
        <v>3.1</v>
      </c>
      <c r="B32" s="62" t="s">
        <v>48</v>
      </c>
      <c r="C32" s="15"/>
      <c r="D32" s="14"/>
      <c r="E32" s="53"/>
      <c r="F32" s="16"/>
    </row>
    <row r="33" spans="1:6" ht="15" customHeight="1" x14ac:dyDescent="0.2">
      <c r="A33" s="178" t="s">
        <v>49</v>
      </c>
      <c r="B33" s="61" t="s">
        <v>50</v>
      </c>
      <c r="C33" s="167">
        <f>84+170+138+75+98+96+119+73+54</f>
        <v>907</v>
      </c>
      <c r="D33" s="168" t="s">
        <v>51</v>
      </c>
      <c r="E33" s="169">
        <v>64</v>
      </c>
      <c r="F33" s="170">
        <f t="shared" ref="F33:F35" si="4">SUM(E33*C33)</f>
        <v>58048</v>
      </c>
    </row>
    <row r="34" spans="1:6" ht="15" customHeight="1" x14ac:dyDescent="0.2">
      <c r="A34" s="178" t="s">
        <v>52</v>
      </c>
      <c r="B34" s="61" t="s">
        <v>53</v>
      </c>
      <c r="C34" s="167">
        <v>0</v>
      </c>
      <c r="D34" s="168" t="s">
        <v>51</v>
      </c>
      <c r="E34" s="169">
        <v>61</v>
      </c>
      <c r="F34" s="170">
        <f t="shared" si="4"/>
        <v>0</v>
      </c>
    </row>
    <row r="35" spans="1:6" ht="15" customHeight="1" x14ac:dyDescent="0.2">
      <c r="A35" s="178" t="s">
        <v>54</v>
      </c>
      <c r="B35" s="61" t="s">
        <v>55</v>
      </c>
      <c r="C35" s="167">
        <f>138+6+29+28+15+29+28+15+6+15+40+39+15+22+23+6+130+129+82+81+6</f>
        <v>882</v>
      </c>
      <c r="D35" s="168" t="s">
        <v>51</v>
      </c>
      <c r="E35" s="169">
        <v>52</v>
      </c>
      <c r="F35" s="170">
        <f t="shared" si="4"/>
        <v>45864</v>
      </c>
    </row>
    <row r="36" spans="1:6" x14ac:dyDescent="0.25">
      <c r="A36" s="177">
        <v>3.2</v>
      </c>
      <c r="B36" s="62" t="s">
        <v>56</v>
      </c>
      <c r="C36" s="171"/>
      <c r="D36" s="171"/>
      <c r="E36" s="171"/>
      <c r="F36" s="171"/>
    </row>
    <row r="37" spans="1:6" ht="14.25" x14ac:dyDescent="0.2">
      <c r="A37" s="178" t="s">
        <v>57</v>
      </c>
      <c r="B37" s="61" t="s">
        <v>58</v>
      </c>
      <c r="C37" s="167">
        <f>220+150+150+22*8+90*4+22+22*8+82*4+16</f>
        <v>1598</v>
      </c>
      <c r="D37" s="168" t="s">
        <v>11</v>
      </c>
      <c r="E37" s="169">
        <v>70</v>
      </c>
      <c r="F37" s="170">
        <f>SUM(E37*C37)</f>
        <v>111860</v>
      </c>
    </row>
    <row r="38" spans="1:6" ht="15" customHeight="1" x14ac:dyDescent="0.2">
      <c r="A38" s="178" t="s">
        <v>59</v>
      </c>
      <c r="B38" s="61" t="s">
        <v>60</v>
      </c>
      <c r="C38" s="167">
        <f>C37</f>
        <v>1598</v>
      </c>
      <c r="D38" s="168" t="s">
        <v>11</v>
      </c>
      <c r="E38" s="169">
        <v>35</v>
      </c>
      <c r="F38" s="170">
        <f>SUM(E38*C38)</f>
        <v>55930</v>
      </c>
    </row>
    <row r="39" spans="1:6" ht="15" customHeight="1" x14ac:dyDescent="0.25">
      <c r="A39" s="177">
        <v>3.3</v>
      </c>
      <c r="B39" s="62" t="s">
        <v>61</v>
      </c>
      <c r="E39" s="169"/>
      <c r="F39" s="170"/>
    </row>
    <row r="40" spans="1:6" ht="15" customHeight="1" x14ac:dyDescent="0.2">
      <c r="A40" s="178" t="s">
        <v>62</v>
      </c>
      <c r="B40" s="61" t="s">
        <v>63</v>
      </c>
      <c r="C40" s="167">
        <v>0</v>
      </c>
      <c r="D40" s="168" t="s">
        <v>11</v>
      </c>
      <c r="E40" s="169">
        <f>ROUNDUP(E37*125/150,0)</f>
        <v>59</v>
      </c>
      <c r="F40" s="170">
        <f t="shared" ref="F40:F41" si="5">SUM(E40*C40)</f>
        <v>0</v>
      </c>
    </row>
    <row r="41" spans="1:6" ht="15" customHeight="1" x14ac:dyDescent="0.2">
      <c r="A41" s="178" t="s">
        <v>64</v>
      </c>
      <c r="B41" s="61" t="s">
        <v>65</v>
      </c>
      <c r="C41" s="167">
        <f>C40</f>
        <v>0</v>
      </c>
      <c r="D41" s="168" t="s">
        <v>11</v>
      </c>
      <c r="E41" s="169">
        <f>ROUNDUP(E38*0.8,0)</f>
        <v>28</v>
      </c>
      <c r="F41" s="170">
        <f t="shared" si="5"/>
        <v>0</v>
      </c>
    </row>
    <row r="42" spans="1:6" ht="15" customHeight="1" x14ac:dyDescent="0.25">
      <c r="A42" s="177">
        <v>3.4</v>
      </c>
      <c r="B42" s="62" t="s">
        <v>66</v>
      </c>
      <c r="E42" s="169"/>
      <c r="F42" s="170"/>
    </row>
    <row r="43" spans="1:6" ht="15" customHeight="1" x14ac:dyDescent="0.2">
      <c r="A43" s="178" t="s">
        <v>67</v>
      </c>
      <c r="B43" s="61" t="s">
        <v>63</v>
      </c>
      <c r="C43" s="167">
        <v>0</v>
      </c>
      <c r="D43" s="168" t="s">
        <v>11</v>
      </c>
      <c r="E43" s="169">
        <f>E40</f>
        <v>59</v>
      </c>
      <c r="F43" s="170">
        <f t="shared" ref="F43:F45" si="6">SUM(E43*C43)</f>
        <v>0</v>
      </c>
    </row>
    <row r="44" spans="1:6" ht="14.25" x14ac:dyDescent="0.2">
      <c r="A44" s="178" t="s">
        <v>68</v>
      </c>
      <c r="B44" s="61" t="s">
        <v>65</v>
      </c>
      <c r="C44" s="167">
        <f>C43</f>
        <v>0</v>
      </c>
      <c r="D44" s="168" t="s">
        <v>11</v>
      </c>
      <c r="E44" s="169">
        <f>ROUNDUP(E38*0.8,0)</f>
        <v>28</v>
      </c>
      <c r="F44" s="170">
        <f t="shared" si="6"/>
        <v>0</v>
      </c>
    </row>
    <row r="45" spans="1:6" ht="15" customHeight="1" x14ac:dyDescent="0.2">
      <c r="A45" s="177">
        <v>3.5</v>
      </c>
      <c r="B45" s="61" t="s">
        <v>69</v>
      </c>
      <c r="C45" s="167">
        <v>0</v>
      </c>
      <c r="D45" s="168" t="s">
        <v>14</v>
      </c>
      <c r="E45" s="169">
        <v>650</v>
      </c>
      <c r="F45" s="170">
        <f t="shared" si="6"/>
        <v>0</v>
      </c>
    </row>
    <row r="46" spans="1:6" ht="15" customHeight="1" x14ac:dyDescent="0.25">
      <c r="A46" s="165">
        <v>4</v>
      </c>
      <c r="B46" s="70" t="s">
        <v>70</v>
      </c>
      <c r="C46" s="71"/>
      <c r="D46" s="72"/>
      <c r="E46" s="79"/>
      <c r="F46" s="74">
        <f>SUM(F47:F60)</f>
        <v>319500</v>
      </c>
    </row>
    <row r="47" spans="1:6" ht="15" customHeight="1" x14ac:dyDescent="0.2">
      <c r="A47" s="177">
        <v>4.0999999999999996</v>
      </c>
      <c r="B47" s="61" t="s">
        <v>71</v>
      </c>
      <c r="C47" s="15">
        <v>14</v>
      </c>
      <c r="D47" s="14" t="s">
        <v>14</v>
      </c>
      <c r="E47" s="53">
        <v>4900</v>
      </c>
      <c r="F47" s="16">
        <f t="shared" ref="F47:F63" si="7">E47*C47</f>
        <v>68600</v>
      </c>
    </row>
    <row r="48" spans="1:6" ht="15" customHeight="1" x14ac:dyDescent="0.2">
      <c r="A48" s="177">
        <v>4.2</v>
      </c>
      <c r="B48" s="61" t="s">
        <v>72</v>
      </c>
      <c r="C48" s="15">
        <v>4</v>
      </c>
      <c r="D48" s="14" t="s">
        <v>14</v>
      </c>
      <c r="E48" s="53">
        <v>1650</v>
      </c>
      <c r="F48" s="16">
        <f t="shared" si="7"/>
        <v>6600</v>
      </c>
    </row>
    <row r="49" spans="1:6" ht="15" customHeight="1" x14ac:dyDescent="0.25">
      <c r="A49" s="177">
        <v>4.3</v>
      </c>
      <c r="B49" s="62" t="s">
        <v>73</v>
      </c>
      <c r="C49" s="15"/>
      <c r="D49" s="14"/>
      <c r="E49" s="53"/>
      <c r="F49" s="16"/>
    </row>
    <row r="50" spans="1:6" ht="15" customHeight="1" x14ac:dyDescent="0.2">
      <c r="A50" s="178" t="s">
        <v>74</v>
      </c>
      <c r="B50" s="61" t="s">
        <v>75</v>
      </c>
      <c r="C50" s="15">
        <v>0</v>
      </c>
      <c r="D50" s="14" t="s">
        <v>14</v>
      </c>
      <c r="E50" s="53">
        <v>4200</v>
      </c>
      <c r="F50" s="16">
        <f t="shared" si="7"/>
        <v>0</v>
      </c>
    </row>
    <row r="51" spans="1:6" ht="15" customHeight="1" x14ac:dyDescent="0.2">
      <c r="A51" s="178" t="s">
        <v>76</v>
      </c>
      <c r="B51" s="61" t="s">
        <v>77</v>
      </c>
      <c r="C51" s="15">
        <v>1</v>
      </c>
      <c r="D51" s="14" t="s">
        <v>14</v>
      </c>
      <c r="E51" s="53">
        <v>5300</v>
      </c>
      <c r="F51" s="16">
        <f t="shared" si="7"/>
        <v>5300</v>
      </c>
    </row>
    <row r="52" spans="1:6" ht="15" customHeight="1" x14ac:dyDescent="0.25">
      <c r="A52" s="177">
        <v>4.4000000000000004</v>
      </c>
      <c r="B52" s="62" t="s">
        <v>78</v>
      </c>
      <c r="C52" s="15"/>
      <c r="D52" s="14"/>
      <c r="E52" s="53"/>
      <c r="F52" s="16"/>
    </row>
    <row r="53" spans="1:6" ht="15" customHeight="1" x14ac:dyDescent="0.2">
      <c r="A53" s="178" t="s">
        <v>79</v>
      </c>
      <c r="B53" s="61" t="s">
        <v>80</v>
      </c>
      <c r="C53" s="15">
        <f>42+45+26+22+33+22+20+20+15+39+40+40+23+20</f>
        <v>407</v>
      </c>
      <c r="D53" s="14" t="s">
        <v>51</v>
      </c>
      <c r="E53" s="53">
        <v>325</v>
      </c>
      <c r="F53" s="16">
        <f t="shared" si="7"/>
        <v>132275</v>
      </c>
    </row>
    <row r="54" spans="1:6" ht="15" customHeight="1" x14ac:dyDescent="0.2">
      <c r="A54" s="178" t="s">
        <v>81</v>
      </c>
      <c r="B54" s="61" t="s">
        <v>82</v>
      </c>
      <c r="C54" s="15">
        <f>15+35</f>
        <v>50</v>
      </c>
      <c r="D54" s="14" t="s">
        <v>51</v>
      </c>
      <c r="E54" s="53">
        <v>480</v>
      </c>
      <c r="F54" s="16">
        <f t="shared" si="7"/>
        <v>24000</v>
      </c>
    </row>
    <row r="55" spans="1:6" ht="15" customHeight="1" x14ac:dyDescent="0.2">
      <c r="A55" s="178" t="s">
        <v>83</v>
      </c>
      <c r="B55" s="61" t="s">
        <v>84</v>
      </c>
      <c r="C55" s="15">
        <v>34</v>
      </c>
      <c r="D55" s="14" t="s">
        <v>51</v>
      </c>
      <c r="E55" s="53">
        <v>600</v>
      </c>
      <c r="F55" s="16">
        <f t="shared" si="7"/>
        <v>20400</v>
      </c>
    </row>
    <row r="56" spans="1:6" ht="15" customHeight="1" x14ac:dyDescent="0.2">
      <c r="A56" s="178" t="s">
        <v>85</v>
      </c>
      <c r="B56" s="61" t="s">
        <v>86</v>
      </c>
      <c r="C56" s="15">
        <v>12</v>
      </c>
      <c r="D56" s="14" t="s">
        <v>51</v>
      </c>
      <c r="E56" s="53">
        <v>750</v>
      </c>
      <c r="F56" s="16">
        <f t="shared" si="7"/>
        <v>9000</v>
      </c>
    </row>
    <row r="57" spans="1:6" ht="15" customHeight="1" x14ac:dyDescent="0.25">
      <c r="A57" s="177">
        <v>4.5</v>
      </c>
      <c r="B57" s="62" t="s">
        <v>87</v>
      </c>
      <c r="C57" s="15"/>
      <c r="D57" s="14"/>
      <c r="E57" s="53"/>
      <c r="F57" s="16"/>
    </row>
    <row r="58" spans="1:6" ht="15" customHeight="1" x14ac:dyDescent="0.2">
      <c r="A58" s="178" t="s">
        <v>88</v>
      </c>
      <c r="B58" s="61" t="s">
        <v>89</v>
      </c>
      <c r="C58" s="15">
        <v>1</v>
      </c>
      <c r="D58" s="14" t="s">
        <v>14</v>
      </c>
      <c r="E58" s="53">
        <v>3800</v>
      </c>
      <c r="F58" s="16">
        <f t="shared" ref="F58" si="8">E58*C58</f>
        <v>3800</v>
      </c>
    </row>
    <row r="59" spans="1:6" ht="15" customHeight="1" x14ac:dyDescent="0.2">
      <c r="A59" s="177">
        <v>4.5999999999999996</v>
      </c>
      <c r="B59" s="127" t="s">
        <v>90</v>
      </c>
      <c r="C59" s="15">
        <f>C33+C35</f>
        <v>1789</v>
      </c>
      <c r="D59" s="128" t="s">
        <v>51</v>
      </c>
      <c r="E59" s="53">
        <v>25</v>
      </c>
      <c r="F59" s="16">
        <f t="shared" si="7"/>
        <v>44725</v>
      </c>
    </row>
    <row r="60" spans="1:6" ht="15" customHeight="1" x14ac:dyDescent="0.2">
      <c r="A60" s="177">
        <v>4.7</v>
      </c>
      <c r="B60" s="127" t="s">
        <v>91</v>
      </c>
      <c r="C60" s="15">
        <v>12</v>
      </c>
      <c r="D60" s="128" t="s">
        <v>92</v>
      </c>
      <c r="E60" s="53">
        <v>400</v>
      </c>
      <c r="F60" s="16">
        <f t="shared" si="7"/>
        <v>4800</v>
      </c>
    </row>
    <row r="61" spans="1:6" ht="15" customHeight="1" x14ac:dyDescent="0.25">
      <c r="A61" s="165">
        <v>5</v>
      </c>
      <c r="B61" s="70" t="s">
        <v>93</v>
      </c>
      <c r="C61" s="71"/>
      <c r="D61" s="72"/>
      <c r="E61" s="73"/>
      <c r="F61" s="74">
        <f>SUM(F62:F63)</f>
        <v>0</v>
      </c>
    </row>
    <row r="62" spans="1:6" ht="15" customHeight="1" x14ac:dyDescent="0.2">
      <c r="A62" s="177">
        <v>5.0999999999999996</v>
      </c>
      <c r="B62" s="61" t="s">
        <v>94</v>
      </c>
      <c r="C62" s="167">
        <v>0</v>
      </c>
      <c r="D62" s="14" t="s">
        <v>14</v>
      </c>
      <c r="E62" s="53">
        <v>280000</v>
      </c>
      <c r="F62" s="16">
        <f t="shared" si="7"/>
        <v>0</v>
      </c>
    </row>
    <row r="63" spans="1:6" ht="15" customHeight="1" x14ac:dyDescent="0.2">
      <c r="A63" s="177">
        <v>5.2</v>
      </c>
      <c r="B63" s="61" t="s">
        <v>95</v>
      </c>
      <c r="C63" s="167">
        <v>0</v>
      </c>
      <c r="D63" s="14" t="s">
        <v>14</v>
      </c>
      <c r="E63" s="53"/>
      <c r="F63" s="16">
        <f t="shared" si="7"/>
        <v>0</v>
      </c>
    </row>
    <row r="64" spans="1:6" ht="15" customHeight="1" x14ac:dyDescent="0.25">
      <c r="A64" s="165">
        <v>6</v>
      </c>
      <c r="B64" s="70" t="s">
        <v>96</v>
      </c>
      <c r="C64" s="71"/>
      <c r="D64" s="72"/>
      <c r="E64" s="79"/>
      <c r="F64" s="74">
        <f>SUM(F65:F67)</f>
        <v>33425</v>
      </c>
    </row>
    <row r="65" spans="1:6" ht="15" customHeight="1" x14ac:dyDescent="0.2">
      <c r="A65" s="177">
        <v>6.1</v>
      </c>
      <c r="B65" s="61" t="s">
        <v>97</v>
      </c>
      <c r="C65" s="15">
        <v>40</v>
      </c>
      <c r="D65" s="14" t="s">
        <v>14</v>
      </c>
      <c r="E65" s="53">
        <v>50</v>
      </c>
      <c r="F65" s="16">
        <f t="shared" ref="F65:F71" si="9">E65*C65</f>
        <v>2000</v>
      </c>
    </row>
    <row r="66" spans="1:6" ht="15" customHeight="1" x14ac:dyDescent="0.2">
      <c r="A66" s="177">
        <v>6.2</v>
      </c>
      <c r="B66" s="61" t="s">
        <v>98</v>
      </c>
      <c r="C66" s="15">
        <v>50</v>
      </c>
      <c r="D66" s="14" t="s">
        <v>11</v>
      </c>
      <c r="E66" s="53">
        <v>60</v>
      </c>
      <c r="F66" s="16">
        <f t="shared" si="9"/>
        <v>3000</v>
      </c>
    </row>
    <row r="67" spans="1:6" ht="15" customHeight="1" x14ac:dyDescent="0.2">
      <c r="A67" s="177">
        <v>6.3</v>
      </c>
      <c r="B67" s="61" t="s">
        <v>99</v>
      </c>
      <c r="C67" s="15">
        <f>1320+800+200+400+450+1200+1200+2400+2100+1300</f>
        <v>11370</v>
      </c>
      <c r="D67" s="14" t="s">
        <v>11</v>
      </c>
      <c r="E67" s="53">
        <v>2.5</v>
      </c>
      <c r="F67" s="16">
        <f t="shared" si="9"/>
        <v>28425</v>
      </c>
    </row>
    <row r="68" spans="1:6" ht="15" customHeight="1" x14ac:dyDescent="0.25">
      <c r="A68" s="165">
        <v>7</v>
      </c>
      <c r="B68" s="70" t="s">
        <v>100</v>
      </c>
      <c r="C68" s="71"/>
      <c r="D68" s="72"/>
      <c r="E68" s="73"/>
      <c r="F68" s="74">
        <f>SUM(F69:F72)</f>
        <v>204240</v>
      </c>
    </row>
    <row r="69" spans="1:6" ht="15" customHeight="1" x14ac:dyDescent="0.2">
      <c r="A69" s="177">
        <v>7.1</v>
      </c>
      <c r="B69" s="61" t="s">
        <v>101</v>
      </c>
      <c r="C69" s="15">
        <v>0</v>
      </c>
      <c r="D69" s="14" t="s">
        <v>14</v>
      </c>
      <c r="E69" s="53">
        <v>100000</v>
      </c>
      <c r="F69" s="16">
        <f t="shared" si="9"/>
        <v>0</v>
      </c>
    </row>
    <row r="70" spans="1:6" ht="15" customHeight="1" x14ac:dyDescent="0.2">
      <c r="A70" s="177">
        <v>7.2</v>
      </c>
      <c r="B70" s="61" t="s">
        <v>102</v>
      </c>
      <c r="C70" s="184">
        <v>1.5</v>
      </c>
      <c r="D70" s="14" t="s">
        <v>14</v>
      </c>
      <c r="E70" s="53">
        <v>80000</v>
      </c>
      <c r="F70" s="16">
        <f t="shared" si="9"/>
        <v>120000</v>
      </c>
    </row>
    <row r="71" spans="1:6" ht="15" customHeight="1" x14ac:dyDescent="0.2">
      <c r="A71" s="177">
        <v>7.3</v>
      </c>
      <c r="B71" s="61" t="s">
        <v>103</v>
      </c>
      <c r="C71" s="15">
        <v>360</v>
      </c>
      <c r="D71" s="14" t="s">
        <v>51</v>
      </c>
      <c r="E71" s="53">
        <v>160</v>
      </c>
      <c r="F71" s="16">
        <f t="shared" si="9"/>
        <v>57600</v>
      </c>
    </row>
    <row r="72" spans="1:6" ht="15" customHeight="1" x14ac:dyDescent="0.2">
      <c r="A72" s="177">
        <v>7.4</v>
      </c>
      <c r="B72" s="61" t="s">
        <v>104</v>
      </c>
      <c r="C72" s="15">
        <v>15</v>
      </c>
      <c r="D72" s="14" t="s">
        <v>105</v>
      </c>
      <c r="E72" s="53">
        <f>SUM(F69:F71)</f>
        <v>177600</v>
      </c>
      <c r="F72" s="16">
        <f>E72*C72/100</f>
        <v>26640</v>
      </c>
    </row>
    <row r="73" spans="1:6" ht="15" customHeight="1" x14ac:dyDescent="0.25">
      <c r="A73" s="165">
        <v>8</v>
      </c>
      <c r="B73" s="70" t="s">
        <v>106</v>
      </c>
      <c r="C73" s="71"/>
      <c r="D73" s="72"/>
      <c r="E73" s="73"/>
      <c r="F73" s="74">
        <f>SUM(F74:F79)</f>
        <v>82086.053499999995</v>
      </c>
    </row>
    <row r="74" spans="1:6" ht="15" customHeight="1" x14ac:dyDescent="0.2">
      <c r="A74" s="177">
        <v>8.1</v>
      </c>
      <c r="B74" s="61" t="s">
        <v>107</v>
      </c>
      <c r="C74" s="15">
        <v>1</v>
      </c>
      <c r="D74" s="14" t="s">
        <v>14</v>
      </c>
      <c r="E74" s="53">
        <v>20000</v>
      </c>
      <c r="F74" s="16">
        <f t="shared" ref="F74:F76" si="10">C74*E74</f>
        <v>20000</v>
      </c>
    </row>
    <row r="75" spans="1:6" ht="15" customHeight="1" x14ac:dyDescent="0.2">
      <c r="A75" s="177">
        <v>8.1999999999999993</v>
      </c>
      <c r="B75" s="61" t="s">
        <v>108</v>
      </c>
      <c r="C75" s="15">
        <v>32</v>
      </c>
      <c r="D75" s="14" t="s">
        <v>14</v>
      </c>
      <c r="E75" s="53">
        <v>280</v>
      </c>
      <c r="F75" s="16">
        <f t="shared" si="10"/>
        <v>8960</v>
      </c>
    </row>
    <row r="76" spans="1:6" ht="15" customHeight="1" x14ac:dyDescent="0.2">
      <c r="A76" s="177">
        <v>8.3000000000000007</v>
      </c>
      <c r="B76" s="61" t="s">
        <v>109</v>
      </c>
      <c r="C76" s="15">
        <v>1</v>
      </c>
      <c r="D76" s="14" t="s">
        <v>14</v>
      </c>
      <c r="E76" s="53">
        <f>0.015*(F46+F31+F12)</f>
        <v>27688.303499999998</v>
      </c>
      <c r="F76" s="16">
        <f t="shared" si="10"/>
        <v>27688.303499999998</v>
      </c>
    </row>
    <row r="77" spans="1:6" ht="15" customHeight="1" x14ac:dyDescent="0.2">
      <c r="A77" s="177">
        <v>8.4</v>
      </c>
      <c r="B77" s="61" t="s">
        <v>110</v>
      </c>
      <c r="C77" s="15">
        <v>1</v>
      </c>
      <c r="D77" s="14" t="s">
        <v>14</v>
      </c>
      <c r="E77" s="53">
        <f>0.15*F64</f>
        <v>5013.75</v>
      </c>
      <c r="F77" s="16">
        <f>C77*E77</f>
        <v>5013.75</v>
      </c>
    </row>
    <row r="78" spans="1:6" ht="15" customHeight="1" x14ac:dyDescent="0.2">
      <c r="A78" s="177">
        <v>8.5</v>
      </c>
      <c r="B78" s="61" t="s">
        <v>111</v>
      </c>
      <c r="C78" s="15">
        <v>10</v>
      </c>
      <c r="D78" s="14" t="s">
        <v>112</v>
      </c>
      <c r="E78" s="53">
        <f>F62*0.015</f>
        <v>0</v>
      </c>
      <c r="F78" s="16">
        <f>C78*E78</f>
        <v>0</v>
      </c>
    </row>
    <row r="79" spans="1:6" ht="15" customHeight="1" x14ac:dyDescent="0.2">
      <c r="A79" s="177">
        <v>8.6</v>
      </c>
      <c r="B79" s="61" t="s">
        <v>113</v>
      </c>
      <c r="C79" s="15">
        <v>1</v>
      </c>
      <c r="D79" s="14" t="s">
        <v>14</v>
      </c>
      <c r="E79" s="53">
        <f>0.1*F68</f>
        <v>20424</v>
      </c>
      <c r="F79" s="16">
        <f>C79*E79</f>
        <v>20424</v>
      </c>
    </row>
    <row r="80" spans="1:6" ht="15" customHeight="1" x14ac:dyDescent="0.25">
      <c r="A80" s="165">
        <v>9</v>
      </c>
      <c r="B80" s="70" t="s">
        <v>114</v>
      </c>
      <c r="C80" s="71"/>
      <c r="D80" s="72"/>
      <c r="E80" s="73"/>
      <c r="F80" s="74">
        <f>SUM(F81:F83)</f>
        <v>15000</v>
      </c>
    </row>
    <row r="81" spans="1:6" ht="28.5" x14ac:dyDescent="0.2">
      <c r="A81" s="177">
        <v>9.1</v>
      </c>
      <c r="B81" s="61" t="s">
        <v>130</v>
      </c>
      <c r="C81" s="15">
        <v>1</v>
      </c>
      <c r="D81" s="14" t="s">
        <v>14</v>
      </c>
      <c r="E81" s="53">
        <v>15000</v>
      </c>
      <c r="F81" s="16">
        <f t="shared" ref="F81" si="11">C81*E81</f>
        <v>15000</v>
      </c>
    </row>
    <row r="82" spans="1:6" ht="15" customHeight="1" x14ac:dyDescent="0.2">
      <c r="A82" s="177"/>
      <c r="B82" s="61"/>
      <c r="C82" s="15"/>
      <c r="D82" s="14"/>
      <c r="E82" s="53"/>
      <c r="F82" s="16"/>
    </row>
    <row r="83" spans="1:6" ht="15" customHeight="1" x14ac:dyDescent="0.2">
      <c r="A83" s="177"/>
      <c r="B83" s="61"/>
      <c r="C83" s="15"/>
      <c r="D83" s="14"/>
      <c r="E83" s="53"/>
      <c r="F83" s="16"/>
    </row>
    <row r="84" spans="1:6" ht="15" customHeight="1" x14ac:dyDescent="0.25">
      <c r="A84" s="92"/>
      <c r="B84" s="160" t="s">
        <v>115</v>
      </c>
      <c r="C84" s="75"/>
      <c r="D84" s="76"/>
      <c r="E84" s="83"/>
      <c r="F84" s="181">
        <f>SUM(F5,F12,F31,F46,F61,F64,F68,F73,F80)</f>
        <v>2506015.2324999999</v>
      </c>
    </row>
    <row r="85" spans="1:6" ht="15" customHeight="1" x14ac:dyDescent="0.25">
      <c r="A85" s="165">
        <v>10</v>
      </c>
      <c r="B85" s="70" t="s">
        <v>116</v>
      </c>
      <c r="C85" s="71"/>
      <c r="D85" s="72"/>
      <c r="E85" s="73"/>
      <c r="F85" s="74"/>
    </row>
    <row r="86" spans="1:6" ht="15" customHeight="1" x14ac:dyDescent="0.2">
      <c r="A86" s="177">
        <v>10.1</v>
      </c>
      <c r="B86" s="61" t="s">
        <v>117</v>
      </c>
      <c r="C86" s="166">
        <v>3.25</v>
      </c>
      <c r="D86" s="14" t="s">
        <v>105</v>
      </c>
      <c r="E86" s="175"/>
      <c r="F86" s="176">
        <f>C86%*F$84</f>
        <v>81445.495056250002</v>
      </c>
    </row>
    <row r="87" spans="1:6" ht="15" customHeight="1" x14ac:dyDescent="0.2">
      <c r="A87" s="177">
        <v>10.199999999999999</v>
      </c>
      <c r="B87" s="61" t="s">
        <v>118</v>
      </c>
      <c r="C87" s="166">
        <v>1</v>
      </c>
      <c r="D87" s="14" t="s">
        <v>105</v>
      </c>
      <c r="E87" s="175"/>
      <c r="F87" s="176">
        <f t="shared" ref="F87:F93" si="12">C87%*F$84</f>
        <v>25060.152324999999</v>
      </c>
    </row>
    <row r="88" spans="1:6" ht="15" customHeight="1" x14ac:dyDescent="0.2">
      <c r="A88" s="177">
        <v>10.3</v>
      </c>
      <c r="B88" s="61" t="s">
        <v>119</v>
      </c>
      <c r="C88" s="166">
        <v>5</v>
      </c>
      <c r="D88" s="14" t="s">
        <v>105</v>
      </c>
      <c r="E88" s="175"/>
      <c r="F88" s="176">
        <f t="shared" si="12"/>
        <v>125300.761625</v>
      </c>
    </row>
    <row r="89" spans="1:6" ht="15" customHeight="1" x14ac:dyDescent="0.2">
      <c r="A89" s="177">
        <v>10.4</v>
      </c>
      <c r="B89" s="61" t="s">
        <v>120</v>
      </c>
      <c r="C89" s="166">
        <v>0.5</v>
      </c>
      <c r="D89" s="14" t="s">
        <v>105</v>
      </c>
      <c r="E89" s="175"/>
      <c r="F89" s="176">
        <f t="shared" si="12"/>
        <v>12530.0761625</v>
      </c>
    </row>
    <row r="90" spans="1:6" ht="15" customHeight="1" x14ac:dyDescent="0.2">
      <c r="A90" s="177">
        <v>10.5</v>
      </c>
      <c r="B90" s="61" t="s">
        <v>121</v>
      </c>
      <c r="C90" s="166">
        <v>5</v>
      </c>
      <c r="D90" s="14" t="s">
        <v>105</v>
      </c>
      <c r="E90" s="175"/>
      <c r="F90" s="176">
        <f t="shared" si="12"/>
        <v>125300.761625</v>
      </c>
    </row>
    <row r="91" spans="1:6" ht="15" customHeight="1" x14ac:dyDescent="0.2">
      <c r="A91" s="177">
        <v>10.6</v>
      </c>
      <c r="B91" s="61" t="s">
        <v>122</v>
      </c>
      <c r="C91" s="166">
        <v>9</v>
      </c>
      <c r="D91" s="14" t="s">
        <v>105</v>
      </c>
      <c r="E91" s="175"/>
      <c r="F91" s="176">
        <f t="shared" si="12"/>
        <v>225541.370925</v>
      </c>
    </row>
    <row r="92" spans="1:6" ht="15" customHeight="1" x14ac:dyDescent="0.2">
      <c r="A92" s="177">
        <v>10.7</v>
      </c>
      <c r="B92" s="61" t="s">
        <v>123</v>
      </c>
      <c r="C92" s="166">
        <v>2.5</v>
      </c>
      <c r="D92" s="14" t="s">
        <v>105</v>
      </c>
      <c r="E92" s="175"/>
      <c r="F92" s="176">
        <f t="shared" si="12"/>
        <v>62650.3808125</v>
      </c>
    </row>
    <row r="93" spans="1:6" ht="15" customHeight="1" x14ac:dyDescent="0.2">
      <c r="A93" s="177">
        <v>10.8</v>
      </c>
      <c r="B93" s="61" t="s">
        <v>124</v>
      </c>
      <c r="C93" s="166">
        <v>15</v>
      </c>
      <c r="D93" s="14" t="s">
        <v>105</v>
      </c>
      <c r="E93" s="175"/>
      <c r="F93" s="176">
        <f t="shared" si="12"/>
        <v>375902.28487499995</v>
      </c>
    </row>
    <row r="94" spans="1:6" ht="15" customHeight="1" x14ac:dyDescent="0.25">
      <c r="A94" s="92"/>
      <c r="B94" s="160" t="s">
        <v>125</v>
      </c>
      <c r="C94" s="75"/>
      <c r="D94" s="76"/>
      <c r="E94" s="83"/>
      <c r="F94" s="181">
        <f>SUM(F84:F93)</f>
        <v>3539746.5159062496</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dimension ref="A1:J93"/>
  <sheetViews>
    <sheetView topLeftCell="A29" zoomScaleNormal="100" workbookViewId="0">
      <selection activeCell="K47" sqref="K47"/>
    </sheetView>
  </sheetViews>
  <sheetFormatPr defaultColWidth="9.140625" defaultRowHeight="14.25" x14ac:dyDescent="0.2"/>
  <cols>
    <col min="1" max="1" width="8.7109375" style="94" customWidth="1"/>
    <col min="2" max="2" width="41.28515625" style="146" customWidth="1"/>
    <col min="3" max="3" width="12.7109375" style="10" customWidth="1"/>
    <col min="4" max="4" width="12.7109375" style="101" customWidth="1"/>
    <col min="5" max="5" width="12.7109375" style="102" customWidth="1"/>
    <col min="6" max="6" width="12.7109375" style="60" customWidth="1"/>
    <col min="7" max="7" width="12.7109375" style="103" customWidth="1"/>
    <col min="8" max="16384" width="9.140625" style="103"/>
  </cols>
  <sheetData>
    <row r="1" spans="1:10" ht="15" x14ac:dyDescent="0.25">
      <c r="A1" s="104" t="s">
        <v>0</v>
      </c>
      <c r="B1" s="100"/>
      <c r="C1" s="101"/>
      <c r="F1" s="191" t="e">
        <f>Summary!#REF!</f>
        <v>#REF!</v>
      </c>
      <c r="G1" s="191"/>
      <c r="J1" s="104"/>
    </row>
    <row r="2" spans="1:10" ht="15" x14ac:dyDescent="0.25">
      <c r="A2" s="104" t="e">
        <f>Summary!#REF!</f>
        <v>#REF!</v>
      </c>
      <c r="B2" s="105"/>
      <c r="C2" s="106"/>
      <c r="D2" s="106"/>
      <c r="G2" s="60"/>
      <c r="J2" s="107"/>
    </row>
    <row r="3" spans="1:10" ht="15" x14ac:dyDescent="0.25">
      <c r="A3" s="104" t="e">
        <f>Summary!#REF!</f>
        <v>#REF!</v>
      </c>
      <c r="B3" s="108"/>
      <c r="C3" s="101"/>
      <c r="F3" s="108"/>
      <c r="G3" s="108"/>
      <c r="J3" s="104"/>
    </row>
    <row r="4" spans="1:10" ht="15" x14ac:dyDescent="0.25">
      <c r="A4" s="109"/>
      <c r="B4" s="108"/>
      <c r="C4" s="101"/>
      <c r="F4" s="108"/>
      <c r="G4" s="108"/>
      <c r="J4" s="104"/>
    </row>
    <row r="5" spans="1:10" s="113" customFormat="1" ht="15" x14ac:dyDescent="0.25">
      <c r="A5" s="110" t="s">
        <v>146</v>
      </c>
      <c r="B5" s="111" t="s">
        <v>147</v>
      </c>
      <c r="C5" s="111" t="s">
        <v>148</v>
      </c>
      <c r="D5" s="111" t="s">
        <v>149</v>
      </c>
      <c r="E5" s="112" t="s">
        <v>150</v>
      </c>
      <c r="F5" s="111" t="s">
        <v>151</v>
      </c>
      <c r="G5" s="111" t="s">
        <v>152</v>
      </c>
      <c r="J5" s="104"/>
    </row>
    <row r="6" spans="1:10" s="101" customFormat="1" ht="15" x14ac:dyDescent="0.25">
      <c r="A6" s="87" t="s">
        <v>153</v>
      </c>
      <c r="B6" s="147" t="s">
        <v>154</v>
      </c>
      <c r="C6" s="66"/>
      <c r="D6" s="148"/>
      <c r="E6" s="149"/>
      <c r="F6" s="150"/>
      <c r="G6" s="151">
        <f>SUM(F6:F9)</f>
        <v>0</v>
      </c>
    </row>
    <row r="7" spans="1:10" s="101" customFormat="1" ht="15" x14ac:dyDescent="0.2">
      <c r="A7" s="88"/>
      <c r="B7" s="114" t="s">
        <v>155</v>
      </c>
      <c r="C7" s="115"/>
      <c r="D7" s="115"/>
      <c r="E7" s="116"/>
      <c r="F7" s="16">
        <v>0</v>
      </c>
      <c r="G7" s="117"/>
    </row>
    <row r="8" spans="1:10" s="101" customFormat="1" ht="15" x14ac:dyDescent="0.2">
      <c r="A8" s="88"/>
      <c r="B8" s="114" t="s">
        <v>156</v>
      </c>
      <c r="C8" s="115"/>
      <c r="D8" s="115"/>
      <c r="E8" s="116"/>
      <c r="F8" s="16">
        <v>0</v>
      </c>
      <c r="G8" s="117"/>
    </row>
    <row r="9" spans="1:10" ht="15" x14ac:dyDescent="0.25">
      <c r="A9" s="89"/>
      <c r="B9" s="118"/>
      <c r="C9" s="24"/>
      <c r="D9" s="119"/>
      <c r="E9" s="120"/>
      <c r="F9" s="25"/>
      <c r="G9" s="121"/>
    </row>
    <row r="10" spans="1:10" s="101" customFormat="1" ht="15" x14ac:dyDescent="0.25">
      <c r="A10" s="87" t="s">
        <v>157</v>
      </c>
      <c r="B10" s="152" t="s">
        <v>158</v>
      </c>
      <c r="C10" s="66"/>
      <c r="D10" s="148"/>
      <c r="E10" s="149"/>
      <c r="F10" s="150"/>
      <c r="G10" s="151">
        <f>SUM(F10:F18)</f>
        <v>0</v>
      </c>
    </row>
    <row r="11" spans="1:10" s="101" customFormat="1" ht="15" x14ac:dyDescent="0.2">
      <c r="A11" s="88"/>
      <c r="B11" s="114" t="s">
        <v>159</v>
      </c>
      <c r="C11" s="19"/>
      <c r="D11" s="125"/>
      <c r="E11" s="123"/>
      <c r="F11" s="16">
        <v>0</v>
      </c>
      <c r="G11" s="117"/>
    </row>
    <row r="12" spans="1:10" s="101" customFormat="1" ht="15" x14ac:dyDescent="0.2">
      <c r="A12" s="88"/>
      <c r="B12" s="114" t="s">
        <v>160</v>
      </c>
      <c r="C12" s="19"/>
      <c r="D12" s="125"/>
      <c r="E12" s="123"/>
      <c r="F12" s="16">
        <v>0</v>
      </c>
      <c r="G12" s="117"/>
    </row>
    <row r="13" spans="1:10" s="101" customFormat="1" ht="15" x14ac:dyDescent="0.2">
      <c r="A13" s="88"/>
      <c r="B13" s="114" t="s">
        <v>161</v>
      </c>
      <c r="C13" s="19"/>
      <c r="D13" s="125"/>
      <c r="E13" s="123"/>
      <c r="F13" s="16">
        <v>0</v>
      </c>
      <c r="G13" s="117"/>
    </row>
    <row r="14" spans="1:10" s="101" customFormat="1" ht="15" x14ac:dyDescent="0.2">
      <c r="A14" s="88"/>
      <c r="B14" s="114" t="s">
        <v>162</v>
      </c>
      <c r="C14" s="19"/>
      <c r="D14" s="125"/>
      <c r="E14" s="123"/>
      <c r="F14" s="16">
        <v>0</v>
      </c>
      <c r="G14" s="117"/>
    </row>
    <row r="15" spans="1:10" s="101" customFormat="1" ht="15" x14ac:dyDescent="0.2">
      <c r="A15" s="88"/>
      <c r="B15" s="114" t="s">
        <v>163</v>
      </c>
      <c r="C15" s="19"/>
      <c r="D15" s="125"/>
      <c r="E15" s="123"/>
      <c r="F15" s="16">
        <v>0</v>
      </c>
      <c r="G15" s="117"/>
    </row>
    <row r="16" spans="1:10" s="101" customFormat="1" ht="15" x14ac:dyDescent="0.2">
      <c r="A16" s="88"/>
      <c r="B16" s="114" t="s">
        <v>164</v>
      </c>
      <c r="C16" s="19"/>
      <c r="D16" s="125"/>
      <c r="E16" s="123"/>
      <c r="F16" s="16">
        <v>0</v>
      </c>
      <c r="G16" s="117"/>
    </row>
    <row r="17" spans="1:7" s="101" customFormat="1" ht="15" x14ac:dyDescent="0.2">
      <c r="A17" s="88"/>
      <c r="B17" s="114" t="s">
        <v>165</v>
      </c>
      <c r="C17" s="19"/>
      <c r="D17" s="125"/>
      <c r="E17" s="123"/>
      <c r="F17" s="16">
        <v>0</v>
      </c>
      <c r="G17" s="117"/>
    </row>
    <row r="18" spans="1:7" ht="15" x14ac:dyDescent="0.25">
      <c r="A18" s="89"/>
      <c r="B18" s="118"/>
      <c r="C18" s="24"/>
      <c r="D18" s="119"/>
      <c r="E18" s="120"/>
      <c r="F18" s="25"/>
      <c r="G18" s="121"/>
    </row>
    <row r="19" spans="1:7" s="101" customFormat="1" ht="15" x14ac:dyDescent="0.25">
      <c r="A19" s="87" t="s">
        <v>166</v>
      </c>
      <c r="B19" s="152" t="s">
        <v>167</v>
      </c>
      <c r="C19" s="66"/>
      <c r="D19" s="148"/>
      <c r="E19" s="149"/>
      <c r="F19" s="150"/>
      <c r="G19" s="151">
        <f>F19:F21</f>
        <v>0</v>
      </c>
    </row>
    <row r="20" spans="1:7" s="101" customFormat="1" ht="15" x14ac:dyDescent="0.2">
      <c r="A20" s="88"/>
      <c r="B20" s="114" t="s">
        <v>168</v>
      </c>
      <c r="C20" s="19"/>
      <c r="D20" s="125"/>
      <c r="E20" s="123"/>
      <c r="F20" s="16">
        <v>0</v>
      </c>
      <c r="G20" s="117"/>
    </row>
    <row r="21" spans="1:7" ht="15" x14ac:dyDescent="0.25">
      <c r="A21" s="89"/>
      <c r="B21" s="118"/>
      <c r="C21" s="24"/>
      <c r="D21" s="119"/>
      <c r="E21" s="120"/>
      <c r="F21" s="25"/>
      <c r="G21" s="121"/>
    </row>
    <row r="22" spans="1:7" s="101" customFormat="1" ht="15" x14ac:dyDescent="0.25">
      <c r="A22" s="87" t="s">
        <v>169</v>
      </c>
      <c r="B22" s="152" t="s">
        <v>170</v>
      </c>
      <c r="C22" s="66"/>
      <c r="D22" s="150"/>
      <c r="E22" s="149"/>
      <c r="F22" s="148">
        <f>SUM(F23:F81)</f>
        <v>0</v>
      </c>
      <c r="G22" s="153">
        <f>SUM(G23:G81)</f>
        <v>0</v>
      </c>
    </row>
    <row r="23" spans="1:7" s="126" customFormat="1" ht="15" x14ac:dyDescent="0.25">
      <c r="A23" s="90">
        <v>1</v>
      </c>
      <c r="B23" s="154" t="s">
        <v>8</v>
      </c>
      <c r="C23" s="71"/>
      <c r="D23" s="155"/>
      <c r="E23" s="156"/>
      <c r="F23" s="74"/>
      <c r="G23" s="157">
        <f>SUM(F23:F27)</f>
        <v>0</v>
      </c>
    </row>
    <row r="24" spans="1:7" x14ac:dyDescent="0.2">
      <c r="A24" s="91">
        <v>1.1000000000000001</v>
      </c>
      <c r="B24" s="127" t="s">
        <v>123</v>
      </c>
      <c r="C24" s="15"/>
      <c r="D24" s="128" t="s">
        <v>14</v>
      </c>
      <c r="E24" s="129"/>
      <c r="F24" s="16">
        <f>C24*E24</f>
        <v>0</v>
      </c>
      <c r="G24" s="130"/>
    </row>
    <row r="25" spans="1:7" ht="28.5" x14ac:dyDescent="0.2">
      <c r="A25" s="91">
        <v>1.2</v>
      </c>
      <c r="B25" s="127" t="s">
        <v>171</v>
      </c>
      <c r="C25" s="15"/>
      <c r="D25" s="128" t="s">
        <v>172</v>
      </c>
      <c r="E25" s="129"/>
      <c r="F25" s="16">
        <f t="shared" ref="F25:F81" si="0">C25*E25</f>
        <v>0</v>
      </c>
      <c r="G25" s="130"/>
    </row>
    <row r="26" spans="1:7" x14ac:dyDescent="0.2">
      <c r="A26" s="91">
        <v>1.3</v>
      </c>
      <c r="B26" s="127" t="s">
        <v>173</v>
      </c>
      <c r="C26" s="15"/>
      <c r="D26" s="128" t="s">
        <v>14</v>
      </c>
      <c r="E26" s="129"/>
      <c r="F26" s="16">
        <f t="shared" si="0"/>
        <v>0</v>
      </c>
      <c r="G26" s="130"/>
    </row>
    <row r="27" spans="1:7" ht="15" x14ac:dyDescent="0.25">
      <c r="A27" s="90">
        <v>2</v>
      </c>
      <c r="B27" s="158" t="s">
        <v>174</v>
      </c>
      <c r="C27" s="159"/>
      <c r="D27" s="155"/>
      <c r="E27" s="156"/>
      <c r="F27" s="74"/>
      <c r="G27" s="157">
        <f>SUM(F27:F31)</f>
        <v>0</v>
      </c>
    </row>
    <row r="28" spans="1:7" x14ac:dyDescent="0.2">
      <c r="A28" s="91">
        <v>2.1</v>
      </c>
      <c r="B28" s="114" t="s">
        <v>175</v>
      </c>
      <c r="C28" s="15"/>
      <c r="D28" s="128" t="s">
        <v>51</v>
      </c>
      <c r="E28" s="129"/>
      <c r="F28" s="16">
        <f t="shared" si="0"/>
        <v>0</v>
      </c>
      <c r="G28" s="131"/>
    </row>
    <row r="29" spans="1:7" x14ac:dyDescent="0.2">
      <c r="A29" s="91">
        <v>2.2000000000000002</v>
      </c>
      <c r="B29" s="114" t="s">
        <v>176</v>
      </c>
      <c r="C29" s="15"/>
      <c r="D29" s="128" t="s">
        <v>177</v>
      </c>
      <c r="E29" s="129"/>
      <c r="F29" s="16">
        <f t="shared" si="0"/>
        <v>0</v>
      </c>
      <c r="G29" s="131"/>
    </row>
    <row r="30" spans="1:7" x14ac:dyDescent="0.2">
      <c r="A30" s="91">
        <v>2.2999999999999998</v>
      </c>
      <c r="B30" s="114" t="s">
        <v>97</v>
      </c>
      <c r="C30" s="15"/>
      <c r="D30" s="128" t="s">
        <v>14</v>
      </c>
      <c r="E30" s="129"/>
      <c r="F30" s="16">
        <f t="shared" si="0"/>
        <v>0</v>
      </c>
      <c r="G30" s="131"/>
    </row>
    <row r="31" spans="1:7" ht="15" x14ac:dyDescent="0.25">
      <c r="A31" s="90">
        <v>3</v>
      </c>
      <c r="B31" s="154" t="s">
        <v>178</v>
      </c>
      <c r="C31" s="71"/>
      <c r="D31" s="155"/>
      <c r="E31" s="156"/>
      <c r="F31" s="74"/>
      <c r="G31" s="157">
        <f>SUM(F31:F35)</f>
        <v>0</v>
      </c>
    </row>
    <row r="32" spans="1:7" x14ac:dyDescent="0.2">
      <c r="A32" s="91">
        <v>3.1</v>
      </c>
      <c r="B32" s="127" t="s">
        <v>179</v>
      </c>
      <c r="C32" s="15"/>
      <c r="D32" s="128" t="s">
        <v>11</v>
      </c>
      <c r="E32" s="129"/>
      <c r="F32" s="16">
        <f t="shared" si="0"/>
        <v>0</v>
      </c>
      <c r="G32" s="130"/>
    </row>
    <row r="33" spans="1:7" x14ac:dyDescent="0.2">
      <c r="A33" s="91">
        <v>3.2</v>
      </c>
      <c r="B33" s="127" t="s">
        <v>180</v>
      </c>
      <c r="C33" s="15"/>
      <c r="D33" s="128" t="s">
        <v>181</v>
      </c>
      <c r="E33" s="129"/>
      <c r="F33" s="16">
        <f t="shared" si="0"/>
        <v>0</v>
      </c>
      <c r="G33" s="130"/>
    </row>
    <row r="34" spans="1:7" x14ac:dyDescent="0.2">
      <c r="A34" s="91">
        <v>3.3</v>
      </c>
      <c r="B34" s="127" t="s">
        <v>182</v>
      </c>
      <c r="C34" s="15"/>
      <c r="D34" s="128" t="s">
        <v>181</v>
      </c>
      <c r="E34" s="129"/>
      <c r="F34" s="16">
        <f t="shared" si="0"/>
        <v>0</v>
      </c>
      <c r="G34" s="130"/>
    </row>
    <row r="35" spans="1:7" ht="15" x14ac:dyDescent="0.25">
      <c r="A35" s="90">
        <v>4</v>
      </c>
      <c r="B35" s="154" t="s">
        <v>183</v>
      </c>
      <c r="C35" s="71"/>
      <c r="D35" s="155"/>
      <c r="E35" s="156"/>
      <c r="F35" s="74"/>
      <c r="G35" s="157">
        <f>SUM(F35:F44)</f>
        <v>0</v>
      </c>
    </row>
    <row r="36" spans="1:7" x14ac:dyDescent="0.2">
      <c r="A36" s="91">
        <v>4.0999999999999996</v>
      </c>
      <c r="B36" s="127" t="s">
        <v>184</v>
      </c>
      <c r="C36" s="15"/>
      <c r="D36" s="128" t="s">
        <v>11</v>
      </c>
      <c r="E36" s="129">
        <v>28</v>
      </c>
      <c r="F36" s="16">
        <f t="shared" si="0"/>
        <v>0</v>
      </c>
      <c r="G36" s="130"/>
    </row>
    <row r="37" spans="1:7" x14ac:dyDescent="0.2">
      <c r="A37" s="91" t="s">
        <v>185</v>
      </c>
      <c r="B37" s="127" t="s">
        <v>186</v>
      </c>
      <c r="C37" s="15"/>
      <c r="D37" s="128" t="s">
        <v>11</v>
      </c>
      <c r="E37" s="129">
        <v>35</v>
      </c>
      <c r="F37" s="16">
        <f t="shared" ref="F37" si="1">C37*E37</f>
        <v>0</v>
      </c>
      <c r="G37" s="130"/>
    </row>
    <row r="38" spans="1:7" x14ac:dyDescent="0.2">
      <c r="A38" s="91" t="s">
        <v>187</v>
      </c>
      <c r="B38" s="127" t="s">
        <v>188</v>
      </c>
      <c r="C38" s="15"/>
      <c r="D38" s="128" t="s">
        <v>11</v>
      </c>
      <c r="E38" s="129">
        <v>40</v>
      </c>
      <c r="F38" s="16">
        <f t="shared" ref="F38" si="2">C38*E38</f>
        <v>0</v>
      </c>
      <c r="G38" s="130"/>
    </row>
    <row r="39" spans="1:7" x14ac:dyDescent="0.2">
      <c r="A39" s="91" t="s">
        <v>189</v>
      </c>
      <c r="B39" s="127" t="s">
        <v>190</v>
      </c>
      <c r="C39" s="15"/>
      <c r="D39" s="128" t="s">
        <v>11</v>
      </c>
      <c r="E39" s="129">
        <v>20</v>
      </c>
      <c r="F39" s="16">
        <f t="shared" ref="F39" si="3">C39*E39</f>
        <v>0</v>
      </c>
      <c r="G39" s="130"/>
    </row>
    <row r="40" spans="1:7" x14ac:dyDescent="0.2">
      <c r="A40" s="91" t="s">
        <v>191</v>
      </c>
      <c r="B40" s="127" t="s">
        <v>192</v>
      </c>
      <c r="C40" s="15"/>
      <c r="D40" s="128" t="s">
        <v>11</v>
      </c>
      <c r="E40" s="129">
        <v>15</v>
      </c>
      <c r="F40" s="16">
        <f t="shared" si="0"/>
        <v>0</v>
      </c>
      <c r="G40" s="130"/>
    </row>
    <row r="41" spans="1:7" x14ac:dyDescent="0.2">
      <c r="A41" s="91" t="s">
        <v>193</v>
      </c>
      <c r="B41" s="127" t="s">
        <v>194</v>
      </c>
      <c r="C41" s="15"/>
      <c r="D41" s="128" t="s">
        <v>11</v>
      </c>
      <c r="E41" s="129">
        <v>20</v>
      </c>
      <c r="F41" s="16">
        <f t="shared" si="0"/>
        <v>0</v>
      </c>
      <c r="G41" s="130"/>
    </row>
    <row r="42" spans="1:7" x14ac:dyDescent="0.2">
      <c r="A42" s="91" t="s">
        <v>195</v>
      </c>
      <c r="B42" s="127" t="s">
        <v>196</v>
      </c>
      <c r="C42" s="15"/>
      <c r="D42" s="128" t="s">
        <v>11</v>
      </c>
      <c r="E42" s="129">
        <v>15</v>
      </c>
      <c r="F42" s="16">
        <f t="shared" si="0"/>
        <v>0</v>
      </c>
      <c r="G42" s="130"/>
    </row>
    <row r="43" spans="1:7" x14ac:dyDescent="0.2">
      <c r="A43" s="91" t="s">
        <v>197</v>
      </c>
      <c r="B43" s="127" t="s">
        <v>198</v>
      </c>
      <c r="C43" s="15"/>
      <c r="D43" s="128" t="s">
        <v>11</v>
      </c>
      <c r="E43" s="129">
        <v>80</v>
      </c>
      <c r="F43" s="16">
        <f t="shared" si="0"/>
        <v>0</v>
      </c>
      <c r="G43" s="130"/>
    </row>
    <row r="44" spans="1:7" ht="15" x14ac:dyDescent="0.25">
      <c r="A44" s="90">
        <v>5</v>
      </c>
      <c r="B44" s="154" t="s">
        <v>70</v>
      </c>
      <c r="C44" s="71"/>
      <c r="D44" s="155"/>
      <c r="E44" s="156"/>
      <c r="F44" s="74"/>
      <c r="G44" s="157">
        <f>SUM(F44:F50)</f>
        <v>0</v>
      </c>
    </row>
    <row r="45" spans="1:7" x14ac:dyDescent="0.2">
      <c r="A45" s="91">
        <v>5.0999999999999996</v>
      </c>
      <c r="B45" s="127" t="s">
        <v>199</v>
      </c>
      <c r="C45" s="15"/>
      <c r="D45" s="128" t="s">
        <v>51</v>
      </c>
      <c r="E45" s="129"/>
      <c r="F45" s="16">
        <f t="shared" si="0"/>
        <v>0</v>
      </c>
      <c r="G45" s="130"/>
    </row>
    <row r="46" spans="1:7" x14ac:dyDescent="0.2">
      <c r="A46" s="91">
        <v>5.2</v>
      </c>
      <c r="B46" s="127" t="s">
        <v>200</v>
      </c>
      <c r="C46" s="15"/>
      <c r="D46" s="128" t="s">
        <v>51</v>
      </c>
      <c r="E46" s="129"/>
      <c r="F46" s="16">
        <f t="shared" si="0"/>
        <v>0</v>
      </c>
      <c r="G46" s="130"/>
    </row>
    <row r="47" spans="1:7" x14ac:dyDescent="0.2">
      <c r="A47" s="91">
        <v>5.3</v>
      </c>
      <c r="B47" s="127" t="s">
        <v>201</v>
      </c>
      <c r="C47" s="15"/>
      <c r="D47" s="128" t="s">
        <v>92</v>
      </c>
      <c r="E47" s="129"/>
      <c r="F47" s="16">
        <f t="shared" si="0"/>
        <v>0</v>
      </c>
      <c r="G47" s="130"/>
    </row>
    <row r="48" spans="1:7" x14ac:dyDescent="0.2">
      <c r="A48" s="91">
        <v>5.4</v>
      </c>
      <c r="B48" s="127" t="s">
        <v>202</v>
      </c>
      <c r="C48" s="15"/>
      <c r="D48" s="128" t="s">
        <v>51</v>
      </c>
      <c r="E48" s="129"/>
      <c r="F48" s="16">
        <f t="shared" si="0"/>
        <v>0</v>
      </c>
      <c r="G48" s="130"/>
    </row>
    <row r="49" spans="1:7" x14ac:dyDescent="0.2">
      <c r="A49" s="91">
        <v>5.5</v>
      </c>
      <c r="B49" s="127" t="s">
        <v>203</v>
      </c>
      <c r="C49" s="15"/>
      <c r="D49" s="128" t="s">
        <v>92</v>
      </c>
      <c r="E49" s="129"/>
      <c r="F49" s="16">
        <f t="shared" si="0"/>
        <v>0</v>
      </c>
      <c r="G49" s="130"/>
    </row>
    <row r="50" spans="1:7" ht="15" x14ac:dyDescent="0.25">
      <c r="A50" s="90">
        <v>6</v>
      </c>
      <c r="B50" s="154" t="s">
        <v>47</v>
      </c>
      <c r="C50" s="71"/>
      <c r="D50" s="155"/>
      <c r="E50" s="156"/>
      <c r="F50" s="74"/>
      <c r="G50" s="157">
        <f>SUM(F50:F56)</f>
        <v>0</v>
      </c>
    </row>
    <row r="51" spans="1:7" x14ac:dyDescent="0.2">
      <c r="A51" s="91">
        <v>6.1</v>
      </c>
      <c r="B51" s="127" t="s">
        <v>204</v>
      </c>
      <c r="C51" s="15"/>
      <c r="D51" s="128" t="s">
        <v>51</v>
      </c>
      <c r="E51" s="129"/>
      <c r="F51" s="16">
        <f t="shared" si="0"/>
        <v>0</v>
      </c>
      <c r="G51" s="131"/>
    </row>
    <row r="52" spans="1:7" x14ac:dyDescent="0.2">
      <c r="A52" s="91">
        <v>6.2</v>
      </c>
      <c r="B52" s="127" t="s">
        <v>205</v>
      </c>
      <c r="C52" s="15"/>
      <c r="D52" s="128" t="s">
        <v>51</v>
      </c>
      <c r="E52" s="129"/>
      <c r="F52" s="16">
        <f t="shared" si="0"/>
        <v>0</v>
      </c>
      <c r="G52" s="131"/>
    </row>
    <row r="53" spans="1:7" x14ac:dyDescent="0.2">
      <c r="A53" s="91">
        <v>6.3</v>
      </c>
      <c r="B53" s="127" t="s">
        <v>206</v>
      </c>
      <c r="C53" s="15"/>
      <c r="D53" s="128" t="s">
        <v>92</v>
      </c>
      <c r="E53" s="129"/>
      <c r="F53" s="16">
        <f t="shared" si="0"/>
        <v>0</v>
      </c>
      <c r="G53" s="131"/>
    </row>
    <row r="54" spans="1:7" x14ac:dyDescent="0.2">
      <c r="A54" s="91">
        <v>6.4</v>
      </c>
      <c r="B54" s="127" t="s">
        <v>207</v>
      </c>
      <c r="C54" s="15"/>
      <c r="D54" s="128" t="s">
        <v>11</v>
      </c>
      <c r="E54" s="129"/>
      <c r="F54" s="16">
        <f t="shared" si="0"/>
        <v>0</v>
      </c>
      <c r="G54" s="131"/>
    </row>
    <row r="55" spans="1:7" x14ac:dyDescent="0.2">
      <c r="A55" s="91">
        <v>6.5</v>
      </c>
      <c r="B55" s="127" t="s">
        <v>208</v>
      </c>
      <c r="C55" s="15"/>
      <c r="D55" s="128" t="s">
        <v>92</v>
      </c>
      <c r="E55" s="129"/>
      <c r="F55" s="16">
        <f t="shared" si="0"/>
        <v>0</v>
      </c>
      <c r="G55" s="130"/>
    </row>
    <row r="56" spans="1:7" ht="15" x14ac:dyDescent="0.25">
      <c r="A56" s="90">
        <v>7</v>
      </c>
      <c r="B56" s="154" t="s">
        <v>96</v>
      </c>
      <c r="C56" s="71"/>
      <c r="D56" s="155"/>
      <c r="E56" s="156"/>
      <c r="F56" s="74"/>
      <c r="G56" s="157">
        <f>SUM(F56:F57)</f>
        <v>0</v>
      </c>
    </row>
    <row r="57" spans="1:7" x14ac:dyDescent="0.2">
      <c r="A57" s="91">
        <v>7.1</v>
      </c>
      <c r="B57" s="127" t="s">
        <v>209</v>
      </c>
      <c r="C57" s="15"/>
      <c r="D57" s="128" t="s">
        <v>11</v>
      </c>
      <c r="E57" s="129"/>
      <c r="F57" s="16">
        <f t="shared" si="0"/>
        <v>0</v>
      </c>
      <c r="G57" s="130"/>
    </row>
    <row r="58" spans="1:7" ht="15" x14ac:dyDescent="0.25">
      <c r="A58" s="90">
        <v>8</v>
      </c>
      <c r="B58" s="154" t="s">
        <v>210</v>
      </c>
      <c r="C58" s="71"/>
      <c r="D58" s="155" t="s">
        <v>14</v>
      </c>
      <c r="E58" s="156"/>
      <c r="F58" s="74">
        <f t="shared" si="0"/>
        <v>0</v>
      </c>
      <c r="G58" s="157">
        <f>F58</f>
        <v>0</v>
      </c>
    </row>
    <row r="59" spans="1:7" ht="15" x14ac:dyDescent="0.25">
      <c r="A59" s="90">
        <v>9</v>
      </c>
      <c r="B59" s="154" t="s">
        <v>211</v>
      </c>
      <c r="C59" s="71"/>
      <c r="D59" s="155" t="s">
        <v>14</v>
      </c>
      <c r="E59" s="156"/>
      <c r="F59" s="74">
        <f t="shared" si="0"/>
        <v>0</v>
      </c>
      <c r="G59" s="157">
        <f>F59</f>
        <v>0</v>
      </c>
    </row>
    <row r="60" spans="1:7" ht="15" x14ac:dyDescent="0.25">
      <c r="A60" s="90">
        <v>10</v>
      </c>
      <c r="B60" s="154" t="s">
        <v>212</v>
      </c>
      <c r="C60" s="71"/>
      <c r="D60" s="155" t="s">
        <v>14</v>
      </c>
      <c r="E60" s="156"/>
      <c r="F60" s="74"/>
      <c r="G60" s="157">
        <f>SUM(F60:F68)</f>
        <v>0</v>
      </c>
    </row>
    <row r="61" spans="1:7" x14ac:dyDescent="0.2">
      <c r="A61" s="91">
        <v>10.1</v>
      </c>
      <c r="B61" s="127" t="s">
        <v>213</v>
      </c>
      <c r="C61" s="15"/>
      <c r="D61" s="128"/>
      <c r="E61" s="132"/>
      <c r="F61" s="16">
        <f t="shared" si="0"/>
        <v>0</v>
      </c>
      <c r="G61" s="130"/>
    </row>
    <row r="62" spans="1:7" x14ac:dyDescent="0.2">
      <c r="A62" s="91">
        <v>10.199999999999999</v>
      </c>
      <c r="B62" s="127" t="s">
        <v>214</v>
      </c>
      <c r="C62" s="15"/>
      <c r="D62" s="128"/>
      <c r="E62" s="132"/>
      <c r="F62" s="16">
        <f t="shared" si="0"/>
        <v>0</v>
      </c>
      <c r="G62" s="130"/>
    </row>
    <row r="63" spans="1:7" x14ac:dyDescent="0.2">
      <c r="A63" s="91">
        <v>10.3</v>
      </c>
      <c r="B63" s="127" t="s">
        <v>215</v>
      </c>
      <c r="C63" s="15"/>
      <c r="D63" s="128"/>
      <c r="E63" s="132"/>
      <c r="F63" s="16">
        <f t="shared" si="0"/>
        <v>0</v>
      </c>
      <c r="G63" s="130"/>
    </row>
    <row r="64" spans="1:7" x14ac:dyDescent="0.2">
      <c r="A64" s="91">
        <v>10.4</v>
      </c>
      <c r="B64" s="127" t="s">
        <v>216</v>
      </c>
      <c r="C64" s="15"/>
      <c r="D64" s="128"/>
      <c r="E64" s="132"/>
      <c r="F64" s="16">
        <f t="shared" si="0"/>
        <v>0</v>
      </c>
      <c r="G64" s="130"/>
    </row>
    <row r="65" spans="1:7" x14ac:dyDescent="0.2">
      <c r="A65" s="91">
        <v>10.5</v>
      </c>
      <c r="B65" s="127" t="s">
        <v>217</v>
      </c>
      <c r="C65" s="15"/>
      <c r="D65" s="128"/>
      <c r="E65" s="132"/>
      <c r="F65" s="16">
        <f t="shared" si="0"/>
        <v>0</v>
      </c>
      <c r="G65" s="130"/>
    </row>
    <row r="66" spans="1:7" x14ac:dyDescent="0.2">
      <c r="A66" s="91">
        <v>10.6</v>
      </c>
      <c r="B66" s="127" t="s">
        <v>218</v>
      </c>
      <c r="C66" s="15"/>
      <c r="D66" s="128"/>
      <c r="E66" s="132"/>
      <c r="F66" s="16">
        <f t="shared" si="0"/>
        <v>0</v>
      </c>
      <c r="G66" s="130"/>
    </row>
    <row r="67" spans="1:7" x14ac:dyDescent="0.2">
      <c r="A67" s="91">
        <v>10.7</v>
      </c>
      <c r="B67" s="127" t="s">
        <v>219</v>
      </c>
      <c r="C67" s="15"/>
      <c r="D67" s="128"/>
      <c r="E67" s="132"/>
      <c r="F67" s="16">
        <f t="shared" si="0"/>
        <v>0</v>
      </c>
      <c r="G67" s="130"/>
    </row>
    <row r="68" spans="1:7" x14ac:dyDescent="0.2">
      <c r="A68" s="91">
        <v>10.8</v>
      </c>
      <c r="B68" s="127" t="s">
        <v>220</v>
      </c>
      <c r="C68" s="15"/>
      <c r="D68" s="128"/>
      <c r="E68" s="132"/>
      <c r="F68" s="16">
        <f t="shared" si="0"/>
        <v>0</v>
      </c>
      <c r="G68" s="130"/>
    </row>
    <row r="69" spans="1:7" ht="30" x14ac:dyDescent="0.25">
      <c r="A69" s="90">
        <v>11</v>
      </c>
      <c r="B69" s="154" t="s">
        <v>221</v>
      </c>
      <c r="C69" s="71"/>
      <c r="D69" s="155"/>
      <c r="E69" s="156"/>
      <c r="F69" s="74">
        <f t="shared" si="0"/>
        <v>0</v>
      </c>
      <c r="G69" s="157">
        <f>F69</f>
        <v>0</v>
      </c>
    </row>
    <row r="70" spans="1:7" ht="15" x14ac:dyDescent="0.25">
      <c r="A70" s="90">
        <v>12</v>
      </c>
      <c r="B70" s="154" t="s">
        <v>222</v>
      </c>
      <c r="C70" s="71"/>
      <c r="D70" s="155" t="s">
        <v>223</v>
      </c>
      <c r="E70" s="156"/>
      <c r="F70" s="74"/>
      <c r="G70" s="157">
        <f>SUM(F70:F73)</f>
        <v>0</v>
      </c>
    </row>
    <row r="71" spans="1:7" x14ac:dyDescent="0.2">
      <c r="A71" s="91">
        <v>12.1</v>
      </c>
      <c r="B71" s="127" t="s">
        <v>224</v>
      </c>
      <c r="C71" s="15"/>
      <c r="D71" s="128" t="s">
        <v>14</v>
      </c>
      <c r="E71" s="129"/>
      <c r="F71" s="16">
        <f t="shared" si="0"/>
        <v>0</v>
      </c>
      <c r="G71" s="130"/>
    </row>
    <row r="72" spans="1:7" x14ac:dyDescent="0.2">
      <c r="A72" s="91">
        <v>12.2</v>
      </c>
      <c r="B72" s="127" t="s">
        <v>225</v>
      </c>
      <c r="C72" s="15"/>
      <c r="D72" s="128" t="s">
        <v>14</v>
      </c>
      <c r="E72" s="129"/>
      <c r="F72" s="16">
        <f t="shared" si="0"/>
        <v>0</v>
      </c>
      <c r="G72" s="130"/>
    </row>
    <row r="73" spans="1:7" ht="15" x14ac:dyDescent="0.25">
      <c r="A73" s="90">
        <v>13</v>
      </c>
      <c r="B73" s="154" t="s">
        <v>226</v>
      </c>
      <c r="C73" s="71"/>
      <c r="D73" s="155" t="s">
        <v>223</v>
      </c>
      <c r="E73" s="156"/>
      <c r="F73" s="74"/>
      <c r="G73" s="157">
        <f>SUM(F73:F78)</f>
        <v>0</v>
      </c>
    </row>
    <row r="74" spans="1:7" x14ac:dyDescent="0.2">
      <c r="A74" s="91">
        <v>13.1</v>
      </c>
      <c r="B74" s="127" t="s">
        <v>227</v>
      </c>
      <c r="C74" s="15"/>
      <c r="D74" s="128" t="s">
        <v>92</v>
      </c>
      <c r="E74" s="129"/>
      <c r="F74" s="16">
        <f t="shared" si="0"/>
        <v>0</v>
      </c>
      <c r="G74" s="131"/>
    </row>
    <row r="75" spans="1:7" x14ac:dyDescent="0.2">
      <c r="A75" s="91">
        <v>13.2</v>
      </c>
      <c r="B75" s="127" t="s">
        <v>228</v>
      </c>
      <c r="C75" s="15"/>
      <c r="D75" s="128" t="s">
        <v>92</v>
      </c>
      <c r="E75" s="129"/>
      <c r="F75" s="16">
        <f t="shared" si="0"/>
        <v>0</v>
      </c>
      <c r="G75" s="130"/>
    </row>
    <row r="76" spans="1:7" x14ac:dyDescent="0.2">
      <c r="A76" s="91">
        <v>13.3</v>
      </c>
      <c r="B76" s="127" t="s">
        <v>229</v>
      </c>
      <c r="C76" s="15"/>
      <c r="D76" s="128" t="s">
        <v>14</v>
      </c>
      <c r="E76" s="129"/>
      <c r="F76" s="16">
        <f t="shared" si="0"/>
        <v>0</v>
      </c>
      <c r="G76" s="131"/>
    </row>
    <row r="77" spans="1:7" x14ac:dyDescent="0.2">
      <c r="A77" s="91">
        <v>13.4</v>
      </c>
      <c r="B77" s="127" t="s">
        <v>230</v>
      </c>
      <c r="C77" s="15"/>
      <c r="D77" s="128" t="s">
        <v>14</v>
      </c>
      <c r="E77" s="129"/>
      <c r="F77" s="16">
        <f t="shared" si="0"/>
        <v>0</v>
      </c>
      <c r="G77" s="130"/>
    </row>
    <row r="78" spans="1:7" ht="15" x14ac:dyDescent="0.25">
      <c r="A78" s="90">
        <v>14</v>
      </c>
      <c r="B78" s="154" t="s">
        <v>106</v>
      </c>
      <c r="C78" s="71"/>
      <c r="D78" s="155"/>
      <c r="E78" s="156"/>
      <c r="F78" s="74"/>
      <c r="G78" s="157">
        <f>SUM(F78:F81)</f>
        <v>0</v>
      </c>
    </row>
    <row r="79" spans="1:7" x14ac:dyDescent="0.2">
      <c r="A79" s="91"/>
      <c r="B79" s="127"/>
      <c r="C79" s="15"/>
      <c r="D79" s="128"/>
      <c r="E79" s="129"/>
      <c r="F79" s="16">
        <f t="shared" si="0"/>
        <v>0</v>
      </c>
      <c r="G79" s="130"/>
    </row>
    <row r="80" spans="1:7" x14ac:dyDescent="0.2">
      <c r="A80" s="91"/>
      <c r="B80" s="127"/>
      <c r="C80" s="15"/>
      <c r="D80" s="128"/>
      <c r="E80" s="129"/>
      <c r="F80" s="16">
        <f t="shared" si="0"/>
        <v>0</v>
      </c>
      <c r="G80" s="130"/>
    </row>
    <row r="81" spans="1:7" ht="15" x14ac:dyDescent="0.25">
      <c r="A81" s="90">
        <v>15</v>
      </c>
      <c r="B81" s="154" t="s">
        <v>231</v>
      </c>
      <c r="C81" s="71"/>
      <c r="D81" s="155" t="s">
        <v>14</v>
      </c>
      <c r="E81" s="156"/>
      <c r="F81" s="74">
        <f t="shared" si="0"/>
        <v>0</v>
      </c>
      <c r="G81" s="157">
        <f>F81</f>
        <v>0</v>
      </c>
    </row>
    <row r="82" spans="1:7" ht="15" x14ac:dyDescent="0.25">
      <c r="A82" s="89"/>
      <c r="B82" s="118"/>
      <c r="C82" s="24"/>
      <c r="D82" s="119"/>
      <c r="E82" s="120"/>
      <c r="F82" s="25"/>
      <c r="G82" s="121"/>
    </row>
    <row r="83" spans="1:7" ht="15" x14ac:dyDescent="0.25">
      <c r="A83" s="133"/>
      <c r="B83" s="134" t="s">
        <v>232</v>
      </c>
      <c r="C83" s="135"/>
      <c r="D83" s="136"/>
      <c r="E83" s="137"/>
      <c r="F83" s="136">
        <f>SUM(F23:F82,F6:F21)</f>
        <v>0</v>
      </c>
      <c r="G83" s="138">
        <f>SUM(G22+G19+G10+G6)</f>
        <v>0</v>
      </c>
    </row>
    <row r="84" spans="1:7" ht="15" x14ac:dyDescent="0.25">
      <c r="A84" s="89"/>
      <c r="B84" s="118"/>
      <c r="C84" s="24"/>
      <c r="D84" s="119"/>
      <c r="E84" s="120"/>
      <c r="F84" s="25"/>
      <c r="G84" s="121"/>
    </row>
    <row r="85" spans="1:7" ht="15" x14ac:dyDescent="0.25">
      <c r="A85" s="87" t="s">
        <v>233</v>
      </c>
      <c r="B85" s="147" t="s">
        <v>124</v>
      </c>
      <c r="C85" s="66"/>
      <c r="D85" s="148"/>
      <c r="E85" s="149"/>
      <c r="F85" s="150"/>
      <c r="G85" s="151"/>
    </row>
    <row r="86" spans="1:7" ht="15" x14ac:dyDescent="0.25">
      <c r="A86" s="91"/>
      <c r="B86" s="139" t="e">
        <f>Summary!#REF!</f>
        <v>#REF!</v>
      </c>
      <c r="C86" s="15"/>
      <c r="D86" s="128"/>
      <c r="E86" s="129"/>
      <c r="F86" s="20">
        <v>0</v>
      </c>
      <c r="G86" s="131">
        <f>F86*G22</f>
        <v>0</v>
      </c>
    </row>
    <row r="87" spans="1:7" ht="15" x14ac:dyDescent="0.25">
      <c r="A87" s="91"/>
      <c r="B87" s="139" t="e">
        <f>Summary!#REF!</f>
        <v>#REF!</v>
      </c>
      <c r="C87" s="15"/>
      <c r="D87" s="128"/>
      <c r="E87" s="129"/>
      <c r="F87" s="20">
        <v>0.3</v>
      </c>
      <c r="G87" s="131">
        <f>F87*G22</f>
        <v>0</v>
      </c>
    </row>
    <row r="88" spans="1:7" ht="15" x14ac:dyDescent="0.25">
      <c r="A88" s="89"/>
      <c r="B88" s="118"/>
      <c r="C88" s="24"/>
      <c r="D88" s="119"/>
      <c r="E88" s="120"/>
      <c r="F88" s="25"/>
      <c r="G88" s="121"/>
    </row>
    <row r="89" spans="1:7" ht="15" x14ac:dyDescent="0.25">
      <c r="A89" s="93" t="s">
        <v>234</v>
      </c>
      <c r="B89" s="140" t="s">
        <v>235</v>
      </c>
      <c r="C89" s="33"/>
      <c r="D89" s="141"/>
      <c r="E89" s="142"/>
      <c r="F89" s="143"/>
      <c r="G89" s="144"/>
    </row>
    <row r="90" spans="1:7" ht="15" x14ac:dyDescent="0.25">
      <c r="A90" s="91"/>
      <c r="B90" s="139" t="s">
        <v>236</v>
      </c>
      <c r="C90" s="15"/>
      <c r="D90" s="128"/>
      <c r="E90" s="129"/>
      <c r="F90" s="63"/>
      <c r="G90" s="131">
        <f>G83+G86</f>
        <v>0</v>
      </c>
    </row>
    <row r="91" spans="1:7" ht="15" x14ac:dyDescent="0.25">
      <c r="A91" s="91"/>
      <c r="B91" s="139" t="s">
        <v>237</v>
      </c>
      <c r="C91" s="15"/>
      <c r="D91" s="128"/>
      <c r="E91" s="129"/>
      <c r="F91" s="63"/>
      <c r="G91" s="131">
        <f>G87+G83</f>
        <v>0</v>
      </c>
    </row>
    <row r="92" spans="1:7" ht="15" x14ac:dyDescent="0.25">
      <c r="A92" s="89"/>
      <c r="B92" s="118"/>
      <c r="C92" s="24"/>
      <c r="D92" s="119"/>
      <c r="E92" s="120"/>
      <c r="F92" s="25"/>
      <c r="G92" s="121"/>
    </row>
    <row r="93" spans="1:7" ht="15" x14ac:dyDescent="0.25">
      <c r="A93" s="93" t="s">
        <v>238</v>
      </c>
      <c r="B93" s="145" t="s">
        <v>239</v>
      </c>
      <c r="C93" s="29"/>
      <c r="D93" s="143"/>
      <c r="E93" s="142"/>
      <c r="F93" s="64"/>
      <c r="G93" s="65">
        <f>(G91-G90)*0.75+G83</f>
        <v>0</v>
      </c>
    </row>
  </sheetData>
  <mergeCells count="1">
    <mergeCell ref="F1:G1"/>
  </mergeCells>
  <conditionalFormatting sqref="F22">
    <cfRule type="expression" dxfId="9" priority="2">
      <formula>$F$22&lt;&gt;$G$22</formula>
    </cfRule>
  </conditionalFormatting>
  <conditionalFormatting sqref="F83">
    <cfRule type="expression" dxfId="8" priority="1">
      <formula>$F$83&lt;&gt;$G$83</formula>
    </cfRule>
  </conditionalFormatting>
  <pageMargins left="0.59055118110236227" right="0.59055118110236227" top="0.9055118110236221" bottom="0.74803149606299213" header="0.31496062992125984" footer="0.31496062992125984"/>
  <pageSetup paperSize="9" scale="78" fitToHeight="0" orientation="portrait" r:id="rId1"/>
  <headerFooter scaleWithDoc="0">
    <oddHeader>&amp;L&amp;A&amp;R&amp;G</oddHeader>
    <oddFooter>&amp;L&amp;"Arial,Regular"&amp;9&amp;Z&amp;F
&amp;D&amp;R&amp;"Arial,Regular"&amp;9Page &amp;P</oddFooter>
  </headerFooter>
  <rowBreaks count="1" manualBreakCount="1">
    <brk id="59" max="1638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dimension ref="A1:J89"/>
  <sheetViews>
    <sheetView topLeftCell="A33" zoomScaleNormal="100" zoomScaleSheetLayoutView="88" workbookViewId="0">
      <selection activeCell="C42" sqref="C42"/>
    </sheetView>
  </sheetViews>
  <sheetFormatPr defaultColWidth="9.140625" defaultRowHeight="14.25" x14ac:dyDescent="0.2"/>
  <cols>
    <col min="1" max="1" width="8.7109375" style="94" customWidth="1"/>
    <col min="2" max="2" width="41.28515625" style="146" customWidth="1"/>
    <col min="3" max="3" width="12.7109375" style="10" customWidth="1"/>
    <col min="4" max="4" width="12.7109375" style="101" customWidth="1"/>
    <col min="5" max="5" width="12.7109375" style="102" customWidth="1"/>
    <col min="6" max="6" width="12.7109375" style="60" customWidth="1"/>
    <col min="7" max="7" width="12.7109375" style="103" customWidth="1"/>
    <col min="8" max="16384" width="9.140625" style="103"/>
  </cols>
  <sheetData>
    <row r="1" spans="1:10" ht="15" x14ac:dyDescent="0.25">
      <c r="A1" s="99" t="s">
        <v>0</v>
      </c>
      <c r="B1" s="100"/>
      <c r="C1" s="101"/>
      <c r="F1" s="191" t="e">
        <f>Summary!#REF!</f>
        <v>#REF!</v>
      </c>
      <c r="G1" s="191"/>
      <c r="J1" s="104"/>
    </row>
    <row r="2" spans="1:10" ht="15" x14ac:dyDescent="0.25">
      <c r="A2" s="104" t="e">
        <f>Summary!#REF!</f>
        <v>#REF!</v>
      </c>
      <c r="B2" s="105"/>
      <c r="C2" s="106"/>
      <c r="D2" s="106"/>
      <c r="G2" s="60"/>
      <c r="J2" s="107"/>
    </row>
    <row r="3" spans="1:10" ht="15" x14ac:dyDescent="0.25">
      <c r="A3" s="104" t="e">
        <f>Summary!#REF!</f>
        <v>#REF!</v>
      </c>
      <c r="B3" s="108"/>
      <c r="C3" s="101"/>
      <c r="F3" s="108"/>
      <c r="G3" s="108"/>
      <c r="J3" s="104"/>
    </row>
    <row r="4" spans="1:10" ht="15" x14ac:dyDescent="0.25">
      <c r="A4" s="109"/>
      <c r="B4" s="108"/>
      <c r="C4" s="101"/>
      <c r="F4" s="108"/>
      <c r="G4" s="108"/>
      <c r="J4" s="104"/>
    </row>
    <row r="5" spans="1:10" s="113" customFormat="1" ht="15" x14ac:dyDescent="0.25">
      <c r="A5" s="110" t="s">
        <v>146</v>
      </c>
      <c r="B5" s="111" t="s">
        <v>147</v>
      </c>
      <c r="C5" s="111" t="s">
        <v>148</v>
      </c>
      <c r="D5" s="111" t="s">
        <v>149</v>
      </c>
      <c r="E5" s="112" t="s">
        <v>150</v>
      </c>
      <c r="F5" s="111" t="s">
        <v>151</v>
      </c>
      <c r="G5" s="111" t="s">
        <v>152</v>
      </c>
      <c r="J5" s="104"/>
    </row>
    <row r="6" spans="1:10" s="101" customFormat="1" ht="15" x14ac:dyDescent="0.25">
      <c r="A6" s="87" t="s">
        <v>153</v>
      </c>
      <c r="B6" s="147" t="s">
        <v>154</v>
      </c>
      <c r="C6" s="66"/>
      <c r="D6" s="148"/>
      <c r="E6" s="149"/>
      <c r="F6" s="150"/>
      <c r="G6" s="151">
        <f>SUM(F6:F9)</f>
        <v>0</v>
      </c>
    </row>
    <row r="7" spans="1:10" s="101" customFormat="1" ht="15" x14ac:dyDescent="0.2">
      <c r="A7" s="88"/>
      <c r="B7" s="114" t="s">
        <v>155</v>
      </c>
      <c r="C7" s="115"/>
      <c r="D7" s="115"/>
      <c r="E7" s="116"/>
      <c r="F7" s="16">
        <v>0</v>
      </c>
      <c r="G7" s="117"/>
    </row>
    <row r="8" spans="1:10" s="101" customFormat="1" ht="15" x14ac:dyDescent="0.2">
      <c r="A8" s="88"/>
      <c r="B8" s="114" t="s">
        <v>156</v>
      </c>
      <c r="C8" s="115"/>
      <c r="D8" s="115"/>
      <c r="E8" s="116"/>
      <c r="F8" s="16">
        <v>0</v>
      </c>
      <c r="G8" s="117"/>
    </row>
    <row r="9" spans="1:10" ht="15" x14ac:dyDescent="0.25">
      <c r="A9" s="89"/>
      <c r="B9" s="118"/>
      <c r="C9" s="24"/>
      <c r="D9" s="119"/>
      <c r="E9" s="120"/>
      <c r="F9" s="25"/>
      <c r="G9" s="121"/>
    </row>
    <row r="10" spans="1:10" s="101" customFormat="1" ht="15" x14ac:dyDescent="0.25">
      <c r="A10" s="87" t="s">
        <v>157</v>
      </c>
      <c r="B10" s="152" t="s">
        <v>158</v>
      </c>
      <c r="C10" s="66"/>
      <c r="D10" s="148"/>
      <c r="E10" s="149"/>
      <c r="F10" s="150"/>
      <c r="G10" s="151">
        <f>SUM(F10:F18)</f>
        <v>0</v>
      </c>
    </row>
    <row r="11" spans="1:10" s="101" customFormat="1" ht="15" x14ac:dyDescent="0.2">
      <c r="A11" s="88"/>
      <c r="B11" s="114" t="s">
        <v>159</v>
      </c>
      <c r="C11" s="19"/>
      <c r="D11" s="122"/>
      <c r="E11" s="123"/>
      <c r="F11" s="16">
        <v>0</v>
      </c>
      <c r="G11" s="124"/>
    </row>
    <row r="12" spans="1:10" s="101" customFormat="1" ht="15" x14ac:dyDescent="0.2">
      <c r="A12" s="88"/>
      <c r="B12" s="114" t="s">
        <v>160</v>
      </c>
      <c r="C12" s="19"/>
      <c r="D12" s="125"/>
      <c r="E12" s="123"/>
      <c r="F12" s="16">
        <v>0</v>
      </c>
      <c r="G12" s="117"/>
    </row>
    <row r="13" spans="1:10" s="101" customFormat="1" ht="15" x14ac:dyDescent="0.2">
      <c r="A13" s="88"/>
      <c r="B13" s="114" t="s">
        <v>161</v>
      </c>
      <c r="C13" s="19"/>
      <c r="D13" s="125"/>
      <c r="E13" s="123"/>
      <c r="F13" s="16">
        <v>0</v>
      </c>
      <c r="G13" s="117"/>
    </row>
    <row r="14" spans="1:10" s="101" customFormat="1" ht="15" x14ac:dyDescent="0.2">
      <c r="A14" s="88"/>
      <c r="B14" s="114" t="s">
        <v>162</v>
      </c>
      <c r="C14" s="19"/>
      <c r="D14" s="125"/>
      <c r="E14" s="123"/>
      <c r="F14" s="16">
        <v>0</v>
      </c>
      <c r="G14" s="117"/>
    </row>
    <row r="15" spans="1:10" s="101" customFormat="1" ht="15" x14ac:dyDescent="0.2">
      <c r="A15" s="88"/>
      <c r="B15" s="114" t="s">
        <v>163</v>
      </c>
      <c r="C15" s="19"/>
      <c r="D15" s="125"/>
      <c r="E15" s="123"/>
      <c r="F15" s="16">
        <v>0</v>
      </c>
      <c r="G15" s="117"/>
    </row>
    <row r="16" spans="1:10" s="101" customFormat="1" ht="15" x14ac:dyDescent="0.2">
      <c r="A16" s="88"/>
      <c r="B16" s="114" t="s">
        <v>164</v>
      </c>
      <c r="C16" s="19"/>
      <c r="D16" s="125"/>
      <c r="E16" s="123"/>
      <c r="F16" s="16">
        <v>0</v>
      </c>
      <c r="G16" s="117"/>
    </row>
    <row r="17" spans="1:7" s="101" customFormat="1" ht="15" x14ac:dyDescent="0.2">
      <c r="A17" s="88"/>
      <c r="B17" s="114" t="s">
        <v>165</v>
      </c>
      <c r="C17" s="19"/>
      <c r="D17" s="125"/>
      <c r="E17" s="123"/>
      <c r="F17" s="16">
        <v>0</v>
      </c>
      <c r="G17" s="117"/>
    </row>
    <row r="18" spans="1:7" ht="15" x14ac:dyDescent="0.25">
      <c r="A18" s="89"/>
      <c r="B18" s="118"/>
      <c r="C18" s="24"/>
      <c r="D18" s="119"/>
      <c r="E18" s="120"/>
      <c r="F18" s="25"/>
      <c r="G18" s="121"/>
    </row>
    <row r="19" spans="1:7" s="101" customFormat="1" ht="15" x14ac:dyDescent="0.25">
      <c r="A19" s="87" t="s">
        <v>166</v>
      </c>
      <c r="B19" s="152" t="s">
        <v>167</v>
      </c>
      <c r="C19" s="66"/>
      <c r="D19" s="148"/>
      <c r="E19" s="149"/>
      <c r="F19" s="150"/>
      <c r="G19" s="151">
        <f>F19:F21</f>
        <v>0</v>
      </c>
    </row>
    <row r="20" spans="1:7" s="101" customFormat="1" ht="15" x14ac:dyDescent="0.2">
      <c r="A20" s="88"/>
      <c r="B20" s="114" t="s">
        <v>168</v>
      </c>
      <c r="C20" s="19"/>
      <c r="D20" s="125"/>
      <c r="E20" s="123"/>
      <c r="F20" s="16">
        <v>0</v>
      </c>
      <c r="G20" s="117"/>
    </row>
    <row r="21" spans="1:7" ht="15" x14ac:dyDescent="0.25">
      <c r="A21" s="89"/>
      <c r="B21" s="118"/>
      <c r="C21" s="24"/>
      <c r="D21" s="119"/>
      <c r="E21" s="120"/>
      <c r="F21" s="25"/>
      <c r="G21" s="121"/>
    </row>
    <row r="22" spans="1:7" s="101" customFormat="1" ht="15" x14ac:dyDescent="0.25">
      <c r="A22" s="87" t="s">
        <v>169</v>
      </c>
      <c r="B22" s="152" t="s">
        <v>170</v>
      </c>
      <c r="C22" s="66"/>
      <c r="D22" s="148"/>
      <c r="E22" s="149"/>
      <c r="F22" s="148">
        <f>SUM(F23:F78)</f>
        <v>0</v>
      </c>
      <c r="G22" s="151">
        <f>SUM(G23:G77)</f>
        <v>0</v>
      </c>
    </row>
    <row r="23" spans="1:7" ht="15" x14ac:dyDescent="0.25">
      <c r="A23" s="90">
        <v>1</v>
      </c>
      <c r="B23" s="158" t="s">
        <v>8</v>
      </c>
      <c r="C23" s="159"/>
      <c r="D23" s="155"/>
      <c r="E23" s="156"/>
      <c r="F23" s="74"/>
      <c r="G23" s="157">
        <f>SUM(F23:F27)</f>
        <v>0</v>
      </c>
    </row>
    <row r="24" spans="1:7" x14ac:dyDescent="0.2">
      <c r="A24" s="91">
        <v>1.1000000000000001</v>
      </c>
      <c r="B24" s="127" t="s">
        <v>123</v>
      </c>
      <c r="C24" s="15"/>
      <c r="D24" s="128" t="s">
        <v>14</v>
      </c>
      <c r="E24" s="129"/>
      <c r="F24" s="16">
        <f>C24*E24</f>
        <v>0</v>
      </c>
      <c r="G24" s="130"/>
    </row>
    <row r="25" spans="1:7" ht="28.5" x14ac:dyDescent="0.2">
      <c r="A25" s="91">
        <v>1.2</v>
      </c>
      <c r="B25" s="127" t="s">
        <v>171</v>
      </c>
      <c r="C25" s="15"/>
      <c r="D25" s="128" t="s">
        <v>172</v>
      </c>
      <c r="E25" s="129"/>
      <c r="F25" s="16">
        <f t="shared" ref="F25:F77" si="0">C25*E25</f>
        <v>0</v>
      </c>
      <c r="G25" s="130"/>
    </row>
    <row r="26" spans="1:7" x14ac:dyDescent="0.2">
      <c r="A26" s="91">
        <v>1.3</v>
      </c>
      <c r="B26" s="127" t="s">
        <v>173</v>
      </c>
      <c r="C26" s="15"/>
      <c r="D26" s="128" t="s">
        <v>14</v>
      </c>
      <c r="E26" s="129"/>
      <c r="F26" s="16">
        <f t="shared" si="0"/>
        <v>0</v>
      </c>
      <c r="G26" s="130"/>
    </row>
    <row r="27" spans="1:7" ht="15" x14ac:dyDescent="0.25">
      <c r="A27" s="90">
        <v>2</v>
      </c>
      <c r="B27" s="158" t="s">
        <v>174</v>
      </c>
      <c r="C27" s="159"/>
      <c r="D27" s="155"/>
      <c r="E27" s="156"/>
      <c r="F27" s="74"/>
      <c r="G27" s="157">
        <f>SUM(F27:F31)</f>
        <v>0</v>
      </c>
    </row>
    <row r="28" spans="1:7" x14ac:dyDescent="0.2">
      <c r="A28" s="91">
        <v>2.1</v>
      </c>
      <c r="B28" s="114" t="s">
        <v>175</v>
      </c>
      <c r="C28" s="15"/>
      <c r="D28" s="128" t="s">
        <v>51</v>
      </c>
      <c r="E28" s="129"/>
      <c r="F28" s="16">
        <f t="shared" si="0"/>
        <v>0</v>
      </c>
      <c r="G28" s="131"/>
    </row>
    <row r="29" spans="1:7" x14ac:dyDescent="0.2">
      <c r="A29" s="91">
        <v>2.2000000000000002</v>
      </c>
      <c r="B29" s="114" t="s">
        <v>176</v>
      </c>
      <c r="C29" s="15"/>
      <c r="D29" s="128" t="s">
        <v>177</v>
      </c>
      <c r="E29" s="129"/>
      <c r="F29" s="16">
        <f t="shared" si="0"/>
        <v>0</v>
      </c>
      <c r="G29" s="131"/>
    </row>
    <row r="30" spans="1:7" x14ac:dyDescent="0.2">
      <c r="A30" s="91">
        <v>2.2999999999999998</v>
      </c>
      <c r="B30" s="114" t="s">
        <v>97</v>
      </c>
      <c r="C30" s="15"/>
      <c r="D30" s="128" t="s">
        <v>14</v>
      </c>
      <c r="E30" s="129"/>
      <c r="F30" s="16">
        <f t="shared" si="0"/>
        <v>0</v>
      </c>
      <c r="G30" s="131"/>
    </row>
    <row r="31" spans="1:7" ht="15" x14ac:dyDescent="0.25">
      <c r="A31" s="90">
        <v>3</v>
      </c>
      <c r="B31" s="154" t="s">
        <v>178</v>
      </c>
      <c r="C31" s="71"/>
      <c r="D31" s="155"/>
      <c r="E31" s="156"/>
      <c r="F31" s="74"/>
      <c r="G31" s="157">
        <f>SUM(F31:F35)</f>
        <v>0</v>
      </c>
    </row>
    <row r="32" spans="1:7" x14ac:dyDescent="0.2">
      <c r="A32" s="91">
        <v>3.1</v>
      </c>
      <c r="B32" s="127" t="s">
        <v>179</v>
      </c>
      <c r="C32" s="15"/>
      <c r="D32" s="128" t="s">
        <v>11</v>
      </c>
      <c r="E32" s="129"/>
      <c r="F32" s="16">
        <f t="shared" si="0"/>
        <v>0</v>
      </c>
      <c r="G32" s="130"/>
    </row>
    <row r="33" spans="1:7" x14ac:dyDescent="0.2">
      <c r="A33" s="91">
        <v>3.2</v>
      </c>
      <c r="B33" s="127" t="s">
        <v>180</v>
      </c>
      <c r="C33" s="15"/>
      <c r="D33" s="128" t="s">
        <v>181</v>
      </c>
      <c r="E33" s="129"/>
      <c r="F33" s="16">
        <f t="shared" si="0"/>
        <v>0</v>
      </c>
      <c r="G33" s="130"/>
    </row>
    <row r="34" spans="1:7" x14ac:dyDescent="0.2">
      <c r="A34" s="91">
        <v>3.3</v>
      </c>
      <c r="B34" s="127" t="s">
        <v>182</v>
      </c>
      <c r="C34" s="15"/>
      <c r="D34" s="128" t="s">
        <v>181</v>
      </c>
      <c r="E34" s="129"/>
      <c r="F34" s="16">
        <f t="shared" si="0"/>
        <v>0</v>
      </c>
      <c r="G34" s="130"/>
    </row>
    <row r="35" spans="1:7" ht="15" x14ac:dyDescent="0.25">
      <c r="A35" s="90">
        <v>4</v>
      </c>
      <c r="B35" s="154" t="s">
        <v>183</v>
      </c>
      <c r="C35" s="71"/>
      <c r="D35" s="155"/>
      <c r="E35" s="156"/>
      <c r="F35" s="74"/>
      <c r="G35" s="157">
        <f>SUM(F35:F40)</f>
        <v>0</v>
      </c>
    </row>
    <row r="36" spans="1:7" x14ac:dyDescent="0.2">
      <c r="A36" s="91">
        <v>4.0999999999999996</v>
      </c>
      <c r="B36" s="127" t="s">
        <v>240</v>
      </c>
      <c r="C36" s="15"/>
      <c r="D36" s="128" t="s">
        <v>11</v>
      </c>
      <c r="E36" s="129"/>
      <c r="F36" s="16">
        <f t="shared" si="0"/>
        <v>0</v>
      </c>
      <c r="G36" s="130"/>
    </row>
    <row r="37" spans="1:7" x14ac:dyDescent="0.2">
      <c r="A37" s="91">
        <v>4.2</v>
      </c>
      <c r="B37" s="127" t="s">
        <v>241</v>
      </c>
      <c r="C37" s="15"/>
      <c r="D37" s="128" t="s">
        <v>11</v>
      </c>
      <c r="E37" s="129"/>
      <c r="F37" s="16">
        <f t="shared" si="0"/>
        <v>0</v>
      </c>
      <c r="G37" s="130"/>
    </row>
    <row r="38" spans="1:7" x14ac:dyDescent="0.2">
      <c r="A38" s="91">
        <v>4.3</v>
      </c>
      <c r="B38" s="127" t="s">
        <v>242</v>
      </c>
      <c r="C38" s="15"/>
      <c r="D38" s="128" t="s">
        <v>11</v>
      </c>
      <c r="E38" s="129"/>
      <c r="F38" s="16">
        <f t="shared" si="0"/>
        <v>0</v>
      </c>
      <c r="G38" s="130"/>
    </row>
    <row r="39" spans="1:7" x14ac:dyDescent="0.2">
      <c r="A39" s="91">
        <v>4.4000000000000004</v>
      </c>
      <c r="B39" s="127" t="s">
        <v>243</v>
      </c>
      <c r="C39" s="15"/>
      <c r="D39" s="128" t="s">
        <v>11</v>
      </c>
      <c r="E39" s="129"/>
      <c r="F39" s="16">
        <f t="shared" si="0"/>
        <v>0</v>
      </c>
      <c r="G39" s="130"/>
    </row>
    <row r="40" spans="1:7" ht="15" x14ac:dyDescent="0.25">
      <c r="A40" s="90">
        <v>5</v>
      </c>
      <c r="B40" s="154" t="s">
        <v>70</v>
      </c>
      <c r="C40" s="71"/>
      <c r="D40" s="155"/>
      <c r="E40" s="156"/>
      <c r="F40" s="74"/>
      <c r="G40" s="157">
        <f>SUM(F40:F46)</f>
        <v>0</v>
      </c>
    </row>
    <row r="41" spans="1:7" x14ac:dyDescent="0.2">
      <c r="A41" s="91">
        <v>5.0999999999999996</v>
      </c>
      <c r="B41" s="127" t="s">
        <v>199</v>
      </c>
      <c r="C41" s="15">
        <v>2600</v>
      </c>
      <c r="D41" s="128" t="s">
        <v>51</v>
      </c>
      <c r="E41" s="129"/>
      <c r="F41" s="16">
        <f t="shared" si="0"/>
        <v>0</v>
      </c>
      <c r="G41" s="130"/>
    </row>
    <row r="42" spans="1:7" x14ac:dyDescent="0.2">
      <c r="A42" s="91">
        <v>5.2</v>
      </c>
      <c r="B42" s="127" t="s">
        <v>200</v>
      </c>
      <c r="C42" s="15"/>
      <c r="D42" s="128" t="s">
        <v>51</v>
      </c>
      <c r="E42" s="129"/>
      <c r="F42" s="16">
        <f t="shared" si="0"/>
        <v>0</v>
      </c>
      <c r="G42" s="130"/>
    </row>
    <row r="43" spans="1:7" x14ac:dyDescent="0.2">
      <c r="A43" s="91">
        <v>5.3</v>
      </c>
      <c r="B43" s="127" t="s">
        <v>201</v>
      </c>
      <c r="C43" s="15"/>
      <c r="D43" s="128" t="s">
        <v>92</v>
      </c>
      <c r="E43" s="129"/>
      <c r="F43" s="16">
        <f t="shared" si="0"/>
        <v>0</v>
      </c>
      <c r="G43" s="130"/>
    </row>
    <row r="44" spans="1:7" x14ac:dyDescent="0.2">
      <c r="A44" s="91">
        <v>5.4</v>
      </c>
      <c r="B44" s="127" t="s">
        <v>202</v>
      </c>
      <c r="C44" s="15"/>
      <c r="D44" s="128" t="s">
        <v>51</v>
      </c>
      <c r="E44" s="129"/>
      <c r="F44" s="16">
        <f t="shared" si="0"/>
        <v>0</v>
      </c>
      <c r="G44" s="130"/>
    </row>
    <row r="45" spans="1:7" x14ac:dyDescent="0.2">
      <c r="A45" s="91">
        <v>5.5</v>
      </c>
      <c r="B45" s="127" t="s">
        <v>203</v>
      </c>
      <c r="C45" s="15"/>
      <c r="D45" s="128" t="s">
        <v>92</v>
      </c>
      <c r="E45" s="129"/>
      <c r="F45" s="16">
        <f t="shared" si="0"/>
        <v>0</v>
      </c>
      <c r="G45" s="130"/>
    </row>
    <row r="46" spans="1:7" ht="15" x14ac:dyDescent="0.25">
      <c r="A46" s="90">
        <v>6</v>
      </c>
      <c r="B46" s="154" t="s">
        <v>47</v>
      </c>
      <c r="C46" s="71"/>
      <c r="D46" s="155"/>
      <c r="E46" s="156"/>
      <c r="F46" s="74"/>
      <c r="G46" s="157">
        <f>SUM(F46:F52)</f>
        <v>0</v>
      </c>
    </row>
    <row r="47" spans="1:7" x14ac:dyDescent="0.2">
      <c r="A47" s="91">
        <v>6.1</v>
      </c>
      <c r="B47" s="127" t="s">
        <v>204</v>
      </c>
      <c r="C47" s="15"/>
      <c r="D47" s="128" t="s">
        <v>51</v>
      </c>
      <c r="E47" s="129"/>
      <c r="F47" s="16">
        <f t="shared" si="0"/>
        <v>0</v>
      </c>
      <c r="G47" s="131"/>
    </row>
    <row r="48" spans="1:7" x14ac:dyDescent="0.2">
      <c r="A48" s="91">
        <v>6.2</v>
      </c>
      <c r="B48" s="127" t="s">
        <v>205</v>
      </c>
      <c r="C48" s="15"/>
      <c r="D48" s="128" t="s">
        <v>51</v>
      </c>
      <c r="E48" s="129"/>
      <c r="F48" s="16">
        <f t="shared" si="0"/>
        <v>0</v>
      </c>
      <c r="G48" s="131"/>
    </row>
    <row r="49" spans="1:7" x14ac:dyDescent="0.2">
      <c r="A49" s="91">
        <v>6.3</v>
      </c>
      <c r="B49" s="127" t="s">
        <v>206</v>
      </c>
      <c r="C49" s="15"/>
      <c r="D49" s="128" t="s">
        <v>92</v>
      </c>
      <c r="E49" s="129"/>
      <c r="F49" s="16">
        <f t="shared" si="0"/>
        <v>0</v>
      </c>
      <c r="G49" s="131"/>
    </row>
    <row r="50" spans="1:7" x14ac:dyDescent="0.2">
      <c r="A50" s="91">
        <v>6.4</v>
      </c>
      <c r="B50" s="127" t="s">
        <v>207</v>
      </c>
      <c r="C50" s="15"/>
      <c r="D50" s="128" t="s">
        <v>11</v>
      </c>
      <c r="E50" s="129"/>
      <c r="F50" s="16">
        <f t="shared" si="0"/>
        <v>0</v>
      </c>
      <c r="G50" s="131"/>
    </row>
    <row r="51" spans="1:7" x14ac:dyDescent="0.2">
      <c r="A51" s="91">
        <v>6.5</v>
      </c>
      <c r="B51" s="127" t="s">
        <v>208</v>
      </c>
      <c r="C51" s="15"/>
      <c r="D51" s="128" t="s">
        <v>92</v>
      </c>
      <c r="E51" s="129"/>
      <c r="F51" s="16">
        <f t="shared" si="0"/>
        <v>0</v>
      </c>
      <c r="G51" s="130"/>
    </row>
    <row r="52" spans="1:7" ht="15" x14ac:dyDescent="0.25">
      <c r="A52" s="90">
        <v>7</v>
      </c>
      <c r="B52" s="154" t="s">
        <v>96</v>
      </c>
      <c r="C52" s="71"/>
      <c r="D52" s="155"/>
      <c r="E52" s="156"/>
      <c r="F52" s="74"/>
      <c r="G52" s="157">
        <f>SUM(F52:F53)</f>
        <v>0</v>
      </c>
    </row>
    <row r="53" spans="1:7" x14ac:dyDescent="0.2">
      <c r="A53" s="91">
        <v>7.1</v>
      </c>
      <c r="B53" s="127" t="s">
        <v>209</v>
      </c>
      <c r="C53" s="15"/>
      <c r="D53" s="128" t="s">
        <v>11</v>
      </c>
      <c r="E53" s="129"/>
      <c r="F53" s="16">
        <f t="shared" si="0"/>
        <v>0</v>
      </c>
      <c r="G53" s="130"/>
    </row>
    <row r="54" spans="1:7" ht="15" x14ac:dyDescent="0.25">
      <c r="A54" s="90">
        <v>8</v>
      </c>
      <c r="B54" s="154" t="s">
        <v>210</v>
      </c>
      <c r="C54" s="71"/>
      <c r="D54" s="155" t="s">
        <v>14</v>
      </c>
      <c r="E54" s="156"/>
      <c r="F54" s="74">
        <f t="shared" si="0"/>
        <v>0</v>
      </c>
      <c r="G54" s="157">
        <f>F54</f>
        <v>0</v>
      </c>
    </row>
    <row r="55" spans="1:7" ht="15" x14ac:dyDescent="0.25">
      <c r="A55" s="90">
        <v>9</v>
      </c>
      <c r="B55" s="154" t="s">
        <v>211</v>
      </c>
      <c r="C55" s="71"/>
      <c r="D55" s="155" t="s">
        <v>14</v>
      </c>
      <c r="E55" s="156"/>
      <c r="F55" s="74">
        <f t="shared" si="0"/>
        <v>0</v>
      </c>
      <c r="G55" s="157">
        <f>F55</f>
        <v>0</v>
      </c>
    </row>
    <row r="56" spans="1:7" ht="15" x14ac:dyDescent="0.25">
      <c r="A56" s="90">
        <v>10</v>
      </c>
      <c r="B56" s="154" t="s">
        <v>212</v>
      </c>
      <c r="C56" s="71"/>
      <c r="D56" s="155" t="s">
        <v>14</v>
      </c>
      <c r="E56" s="156"/>
      <c r="F56" s="74"/>
      <c r="G56" s="157">
        <f>SUM(F56:F64)</f>
        <v>0</v>
      </c>
    </row>
    <row r="57" spans="1:7" x14ac:dyDescent="0.2">
      <c r="A57" s="91">
        <v>10.1</v>
      </c>
      <c r="B57" s="127" t="s">
        <v>213</v>
      </c>
      <c r="C57" s="15"/>
      <c r="D57" s="128"/>
      <c r="E57" s="132"/>
      <c r="F57" s="16">
        <f t="shared" si="0"/>
        <v>0</v>
      </c>
      <c r="G57" s="130"/>
    </row>
    <row r="58" spans="1:7" x14ac:dyDescent="0.2">
      <c r="A58" s="91">
        <v>10.199999999999999</v>
      </c>
      <c r="B58" s="127" t="s">
        <v>214</v>
      </c>
      <c r="C58" s="15"/>
      <c r="D58" s="128"/>
      <c r="E58" s="132"/>
      <c r="F58" s="16">
        <f t="shared" si="0"/>
        <v>0</v>
      </c>
      <c r="G58" s="130"/>
    </row>
    <row r="59" spans="1:7" x14ac:dyDescent="0.2">
      <c r="A59" s="91">
        <v>10.3</v>
      </c>
      <c r="B59" s="127" t="s">
        <v>215</v>
      </c>
      <c r="C59" s="15"/>
      <c r="D59" s="128"/>
      <c r="E59" s="132"/>
      <c r="F59" s="16">
        <f t="shared" si="0"/>
        <v>0</v>
      </c>
      <c r="G59" s="130"/>
    </row>
    <row r="60" spans="1:7" x14ac:dyDescent="0.2">
      <c r="A60" s="91">
        <v>10.4</v>
      </c>
      <c r="B60" s="127" t="s">
        <v>216</v>
      </c>
      <c r="C60" s="15"/>
      <c r="D60" s="128"/>
      <c r="E60" s="132"/>
      <c r="F60" s="16">
        <f t="shared" si="0"/>
        <v>0</v>
      </c>
      <c r="G60" s="130"/>
    </row>
    <row r="61" spans="1:7" x14ac:dyDescent="0.2">
      <c r="A61" s="91">
        <v>10.5</v>
      </c>
      <c r="B61" s="127" t="s">
        <v>217</v>
      </c>
      <c r="C61" s="15"/>
      <c r="D61" s="128"/>
      <c r="E61" s="132"/>
      <c r="F61" s="16">
        <f t="shared" si="0"/>
        <v>0</v>
      </c>
      <c r="G61" s="130"/>
    </row>
    <row r="62" spans="1:7" x14ac:dyDescent="0.2">
      <c r="A62" s="91">
        <v>10.6</v>
      </c>
      <c r="B62" s="127" t="s">
        <v>218</v>
      </c>
      <c r="C62" s="15"/>
      <c r="D62" s="128"/>
      <c r="E62" s="132"/>
      <c r="F62" s="16">
        <f t="shared" si="0"/>
        <v>0</v>
      </c>
      <c r="G62" s="130"/>
    </row>
    <row r="63" spans="1:7" x14ac:dyDescent="0.2">
      <c r="A63" s="91">
        <v>10.7</v>
      </c>
      <c r="B63" s="127" t="s">
        <v>219</v>
      </c>
      <c r="C63" s="15"/>
      <c r="D63" s="128"/>
      <c r="E63" s="132"/>
      <c r="F63" s="16">
        <f t="shared" si="0"/>
        <v>0</v>
      </c>
      <c r="G63" s="130"/>
    </row>
    <row r="64" spans="1:7" x14ac:dyDescent="0.2">
      <c r="A64" s="91">
        <v>10.8</v>
      </c>
      <c r="B64" s="127" t="s">
        <v>220</v>
      </c>
      <c r="C64" s="15"/>
      <c r="D64" s="128"/>
      <c r="E64" s="132"/>
      <c r="F64" s="16">
        <f t="shared" si="0"/>
        <v>0</v>
      </c>
      <c r="G64" s="130"/>
    </row>
    <row r="65" spans="1:7" ht="30" x14ac:dyDescent="0.25">
      <c r="A65" s="90">
        <v>11</v>
      </c>
      <c r="B65" s="154" t="s">
        <v>221</v>
      </c>
      <c r="C65" s="71"/>
      <c r="D65" s="155"/>
      <c r="E65" s="156"/>
      <c r="F65" s="74">
        <f t="shared" si="0"/>
        <v>0</v>
      </c>
      <c r="G65" s="157">
        <f>F65</f>
        <v>0</v>
      </c>
    </row>
    <row r="66" spans="1:7" ht="15" x14ac:dyDescent="0.25">
      <c r="A66" s="90">
        <v>12</v>
      </c>
      <c r="B66" s="154" t="s">
        <v>222</v>
      </c>
      <c r="C66" s="71"/>
      <c r="D66" s="155" t="s">
        <v>223</v>
      </c>
      <c r="E66" s="156"/>
      <c r="F66" s="74"/>
      <c r="G66" s="157">
        <f>SUM(F66:F69)</f>
        <v>0</v>
      </c>
    </row>
    <row r="67" spans="1:7" x14ac:dyDescent="0.2">
      <c r="A67" s="91">
        <v>12.1</v>
      </c>
      <c r="B67" s="127" t="s">
        <v>224</v>
      </c>
      <c r="C67" s="15"/>
      <c r="D67" s="128" t="s">
        <v>14</v>
      </c>
      <c r="E67" s="129"/>
      <c r="F67" s="16">
        <f t="shared" si="0"/>
        <v>0</v>
      </c>
      <c r="G67" s="130"/>
    </row>
    <row r="68" spans="1:7" x14ac:dyDescent="0.2">
      <c r="A68" s="91">
        <v>12.2</v>
      </c>
      <c r="B68" s="127" t="s">
        <v>225</v>
      </c>
      <c r="C68" s="15"/>
      <c r="D68" s="128" t="s">
        <v>14</v>
      </c>
      <c r="E68" s="129"/>
      <c r="F68" s="16">
        <f t="shared" si="0"/>
        <v>0</v>
      </c>
      <c r="G68" s="130"/>
    </row>
    <row r="69" spans="1:7" ht="15" x14ac:dyDescent="0.25">
      <c r="A69" s="90">
        <v>13</v>
      </c>
      <c r="B69" s="154" t="s">
        <v>226</v>
      </c>
      <c r="C69" s="71"/>
      <c r="D69" s="155" t="s">
        <v>223</v>
      </c>
      <c r="E69" s="156"/>
      <c r="F69" s="74"/>
      <c r="G69" s="157">
        <f>SUM(F69:F74)</f>
        <v>0</v>
      </c>
    </row>
    <row r="70" spans="1:7" x14ac:dyDescent="0.2">
      <c r="A70" s="91">
        <v>13.1</v>
      </c>
      <c r="B70" s="127" t="s">
        <v>227</v>
      </c>
      <c r="C70" s="15"/>
      <c r="D70" s="128" t="s">
        <v>92</v>
      </c>
      <c r="E70" s="129"/>
      <c r="F70" s="16">
        <f t="shared" si="0"/>
        <v>0</v>
      </c>
      <c r="G70" s="131"/>
    </row>
    <row r="71" spans="1:7" x14ac:dyDescent="0.2">
      <c r="A71" s="91">
        <v>13.2</v>
      </c>
      <c r="B71" s="127" t="s">
        <v>244</v>
      </c>
      <c r="C71" s="15"/>
      <c r="D71" s="128" t="s">
        <v>92</v>
      </c>
      <c r="E71" s="129"/>
      <c r="F71" s="16">
        <f t="shared" si="0"/>
        <v>0</v>
      </c>
      <c r="G71" s="130"/>
    </row>
    <row r="72" spans="1:7" x14ac:dyDescent="0.2">
      <c r="A72" s="91">
        <v>13.3</v>
      </c>
      <c r="B72" s="127" t="s">
        <v>229</v>
      </c>
      <c r="C72" s="15"/>
      <c r="D72" s="128" t="s">
        <v>14</v>
      </c>
      <c r="E72" s="129"/>
      <c r="F72" s="16">
        <f t="shared" si="0"/>
        <v>0</v>
      </c>
      <c r="G72" s="131"/>
    </row>
    <row r="73" spans="1:7" x14ac:dyDescent="0.2">
      <c r="A73" s="91">
        <v>13.4</v>
      </c>
      <c r="B73" s="127" t="s">
        <v>230</v>
      </c>
      <c r="C73" s="15"/>
      <c r="D73" s="128" t="s">
        <v>14</v>
      </c>
      <c r="E73" s="129"/>
      <c r="F73" s="16">
        <f t="shared" si="0"/>
        <v>0</v>
      </c>
      <c r="G73" s="130"/>
    </row>
    <row r="74" spans="1:7" ht="15" x14ac:dyDescent="0.25">
      <c r="A74" s="90">
        <v>14</v>
      </c>
      <c r="B74" s="154" t="s">
        <v>106</v>
      </c>
      <c r="C74" s="71"/>
      <c r="D74" s="155"/>
      <c r="E74" s="156"/>
      <c r="F74" s="74"/>
      <c r="G74" s="157">
        <f>SUM(F74:F76)</f>
        <v>0</v>
      </c>
    </row>
    <row r="75" spans="1:7" x14ac:dyDescent="0.2">
      <c r="A75" s="91"/>
      <c r="B75" s="127"/>
      <c r="C75" s="15"/>
      <c r="D75" s="128"/>
      <c r="E75" s="129"/>
      <c r="F75" s="16">
        <f t="shared" si="0"/>
        <v>0</v>
      </c>
      <c r="G75" s="130"/>
    </row>
    <row r="76" spans="1:7" x14ac:dyDescent="0.2">
      <c r="A76" s="91"/>
      <c r="B76" s="127"/>
      <c r="C76" s="15"/>
      <c r="D76" s="128"/>
      <c r="E76" s="129"/>
      <c r="F76" s="16">
        <f t="shared" si="0"/>
        <v>0</v>
      </c>
      <c r="G76" s="130"/>
    </row>
    <row r="77" spans="1:7" ht="15" x14ac:dyDescent="0.25">
      <c r="A77" s="90">
        <v>15</v>
      </c>
      <c r="B77" s="154" t="s">
        <v>231</v>
      </c>
      <c r="C77" s="71"/>
      <c r="D77" s="155" t="s">
        <v>14</v>
      </c>
      <c r="E77" s="156"/>
      <c r="F77" s="74">
        <f t="shared" si="0"/>
        <v>0</v>
      </c>
      <c r="G77" s="157">
        <f>F77</f>
        <v>0</v>
      </c>
    </row>
    <row r="78" spans="1:7" ht="15" x14ac:dyDescent="0.25">
      <c r="A78" s="89"/>
      <c r="B78" s="118"/>
      <c r="C78" s="24"/>
      <c r="D78" s="119"/>
      <c r="E78" s="120"/>
      <c r="F78" s="25"/>
      <c r="G78" s="121"/>
    </row>
    <row r="79" spans="1:7" ht="15" x14ac:dyDescent="0.25">
      <c r="A79" s="133"/>
      <c r="B79" s="134" t="s">
        <v>232</v>
      </c>
      <c r="C79" s="135"/>
      <c r="D79" s="136"/>
      <c r="E79" s="137"/>
      <c r="F79" s="136">
        <f>SUM(F23:F78,F6:F21)</f>
        <v>0</v>
      </c>
      <c r="G79" s="138">
        <f>SUM(G22+G19+G10+G6)</f>
        <v>0</v>
      </c>
    </row>
    <row r="80" spans="1:7" ht="15" x14ac:dyDescent="0.25">
      <c r="A80" s="89"/>
      <c r="B80" s="118"/>
      <c r="C80" s="24"/>
      <c r="D80" s="119"/>
      <c r="E80" s="120"/>
      <c r="F80" s="25"/>
      <c r="G80" s="121"/>
    </row>
    <row r="81" spans="1:7" ht="15" x14ac:dyDescent="0.25">
      <c r="A81" s="87" t="s">
        <v>233</v>
      </c>
      <c r="B81" s="147" t="s">
        <v>124</v>
      </c>
      <c r="C81" s="66"/>
      <c r="D81" s="148"/>
      <c r="E81" s="149"/>
      <c r="F81" s="150"/>
      <c r="G81" s="151"/>
    </row>
    <row r="82" spans="1:7" ht="15" x14ac:dyDescent="0.25">
      <c r="A82" s="91"/>
      <c r="B82" s="139" t="e">
        <f>Summary!#REF!</f>
        <v>#REF!</v>
      </c>
      <c r="C82" s="15"/>
      <c r="D82" s="128"/>
      <c r="E82" s="129"/>
      <c r="F82" s="20">
        <v>0</v>
      </c>
      <c r="G82" s="131">
        <f>F82*G22</f>
        <v>0</v>
      </c>
    </row>
    <row r="83" spans="1:7" ht="15" x14ac:dyDescent="0.25">
      <c r="A83" s="91"/>
      <c r="B83" s="139" t="e">
        <f>Summary!#REF!</f>
        <v>#REF!</v>
      </c>
      <c r="C83" s="15"/>
      <c r="D83" s="128"/>
      <c r="E83" s="129"/>
      <c r="F83" s="20">
        <v>0.3</v>
      </c>
      <c r="G83" s="131">
        <f>F83*G22</f>
        <v>0</v>
      </c>
    </row>
    <row r="84" spans="1:7" ht="15" x14ac:dyDescent="0.25">
      <c r="A84" s="89"/>
      <c r="B84" s="118"/>
      <c r="C84" s="24"/>
      <c r="D84" s="119"/>
      <c r="E84" s="120"/>
      <c r="F84" s="25"/>
      <c r="G84" s="121"/>
    </row>
    <row r="85" spans="1:7" ht="15" x14ac:dyDescent="0.25">
      <c r="A85" s="93" t="s">
        <v>234</v>
      </c>
      <c r="B85" s="140" t="s">
        <v>235</v>
      </c>
      <c r="C85" s="33"/>
      <c r="D85" s="141"/>
      <c r="E85" s="142"/>
      <c r="F85" s="143"/>
      <c r="G85" s="144"/>
    </row>
    <row r="86" spans="1:7" ht="15" x14ac:dyDescent="0.25">
      <c r="A86" s="91"/>
      <c r="B86" s="139" t="s">
        <v>236</v>
      </c>
      <c r="C86" s="15"/>
      <c r="D86" s="128"/>
      <c r="E86" s="129"/>
      <c r="F86" s="63"/>
      <c r="G86" s="131">
        <f>G79+G82</f>
        <v>0</v>
      </c>
    </row>
    <row r="87" spans="1:7" ht="15" x14ac:dyDescent="0.25">
      <c r="A87" s="91"/>
      <c r="B87" s="139" t="s">
        <v>237</v>
      </c>
      <c r="C87" s="15"/>
      <c r="D87" s="128"/>
      <c r="E87" s="129"/>
      <c r="F87" s="63"/>
      <c r="G87" s="131">
        <f>G83+G79</f>
        <v>0</v>
      </c>
    </row>
    <row r="88" spans="1:7" ht="15" x14ac:dyDescent="0.25">
      <c r="A88" s="89"/>
      <c r="B88" s="118"/>
      <c r="C88" s="24"/>
      <c r="D88" s="119"/>
      <c r="E88" s="120"/>
      <c r="F88" s="25"/>
      <c r="G88" s="121"/>
    </row>
    <row r="89" spans="1:7" ht="15" x14ac:dyDescent="0.25">
      <c r="A89" s="93" t="s">
        <v>238</v>
      </c>
      <c r="B89" s="145" t="s">
        <v>239</v>
      </c>
      <c r="C89" s="29"/>
      <c r="D89" s="143"/>
      <c r="E89" s="142"/>
      <c r="F89" s="64"/>
      <c r="G89" s="65">
        <f>(G87-G86)*0.75+G79</f>
        <v>0</v>
      </c>
    </row>
  </sheetData>
  <mergeCells count="1">
    <mergeCell ref="F1:G1"/>
  </mergeCells>
  <conditionalFormatting sqref="F20">
    <cfRule type="expression" dxfId="7" priority="4">
      <formula>$F$20&lt;&gt;$G$20</formula>
    </cfRule>
  </conditionalFormatting>
  <conditionalFormatting sqref="A8:E8 G8">
    <cfRule type="expression" dxfId="6" priority="3">
      <formula>AND(#REF!="Item",A8&lt;&gt;I8)</formula>
    </cfRule>
  </conditionalFormatting>
  <conditionalFormatting sqref="F22">
    <cfRule type="expression" dxfId="5" priority="2">
      <formula>$F$22&lt;&gt;$G$22</formula>
    </cfRule>
  </conditionalFormatting>
  <conditionalFormatting sqref="F79">
    <cfRule type="expression" dxfId="4" priority="1">
      <formula>$F$79&lt;&gt;$G$79</formula>
    </cfRule>
  </conditionalFormatting>
  <pageMargins left="0.59055118110236227" right="0.59055118110236227" top="0.9055118110236221" bottom="0.74803149606299213" header="0.31496062992125984" footer="0.31496062992125984"/>
  <pageSetup paperSize="9" scale="78" fitToHeight="0" orientation="portrait" r:id="rId1"/>
  <headerFooter scaleWithDoc="0">
    <oddHeader>&amp;L&amp;A&amp;R&amp;G</oddHeader>
    <oddFooter>&amp;L&amp;"Arial,Regular"&amp;9&amp;Z&amp;F
&amp;D&amp;R&amp;"Arial,Regular"&amp;9Page &amp;P</oddFooter>
  </headerFooter>
  <rowBreaks count="1" manualBreakCount="1">
    <brk id="55" max="6" man="1"/>
  </rowBreaks>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dimension ref="A1:J192"/>
  <sheetViews>
    <sheetView topLeftCell="A29" zoomScaleNormal="100" workbookViewId="0">
      <selection activeCell="C32" sqref="C31:C34"/>
    </sheetView>
  </sheetViews>
  <sheetFormatPr defaultRowHeight="12.75" x14ac:dyDescent="0.2"/>
  <cols>
    <col min="1" max="1" width="8.7109375" style="95" customWidth="1"/>
    <col min="2" max="2" width="41.28515625" style="42" customWidth="1"/>
    <col min="3" max="3" width="12.7109375" style="40" customWidth="1"/>
    <col min="4" max="5" width="12.7109375" style="39" customWidth="1"/>
    <col min="6" max="6" width="12.7109375" style="41" customWidth="1"/>
    <col min="7" max="7" width="12.7109375" style="39" customWidth="1"/>
    <col min="8" max="8" width="9.140625" style="39"/>
    <col min="9" max="9" width="12.7109375" style="39" customWidth="1"/>
    <col min="10" max="256" width="9.140625" style="39"/>
    <col min="257" max="257" width="8.140625" style="39" customWidth="1"/>
    <col min="258" max="258" width="50.7109375" style="39" customWidth="1"/>
    <col min="259" max="259" width="10.28515625" style="39" bestFit="1" customWidth="1"/>
    <col min="260" max="260" width="9.140625" style="39"/>
    <col min="261" max="261" width="8.85546875" style="39" customWidth="1"/>
    <col min="262" max="262" width="14.42578125" style="39" customWidth="1"/>
    <col min="263" max="263" width="14.140625" style="39" bestFit="1" customWidth="1"/>
    <col min="264" max="512" width="9.140625" style="39"/>
    <col min="513" max="513" width="8.140625" style="39" customWidth="1"/>
    <col min="514" max="514" width="50.7109375" style="39" customWidth="1"/>
    <col min="515" max="515" width="10.28515625" style="39" bestFit="1" customWidth="1"/>
    <col min="516" max="516" width="9.140625" style="39"/>
    <col min="517" max="517" width="8.85546875" style="39" customWidth="1"/>
    <col min="518" max="518" width="14.42578125" style="39" customWidth="1"/>
    <col min="519" max="519" width="14.140625" style="39" bestFit="1" customWidth="1"/>
    <col min="520" max="768" width="9.140625" style="39"/>
    <col min="769" max="769" width="8.140625" style="39" customWidth="1"/>
    <col min="770" max="770" width="50.7109375" style="39" customWidth="1"/>
    <col min="771" max="771" width="10.28515625" style="39" bestFit="1" customWidth="1"/>
    <col min="772" max="772" width="9.140625" style="39"/>
    <col min="773" max="773" width="8.85546875" style="39" customWidth="1"/>
    <col min="774" max="774" width="14.42578125" style="39" customWidth="1"/>
    <col min="775" max="775" width="14.140625" style="39" bestFit="1" customWidth="1"/>
    <col min="776" max="1024" width="9.140625" style="39"/>
    <col min="1025" max="1025" width="8.140625" style="39" customWidth="1"/>
    <col min="1026" max="1026" width="50.7109375" style="39" customWidth="1"/>
    <col min="1027" max="1027" width="10.28515625" style="39" bestFit="1" customWidth="1"/>
    <col min="1028" max="1028" width="9.140625" style="39"/>
    <col min="1029" max="1029" width="8.85546875" style="39" customWidth="1"/>
    <col min="1030" max="1030" width="14.42578125" style="39" customWidth="1"/>
    <col min="1031" max="1031" width="14.140625" style="39" bestFit="1" customWidth="1"/>
    <col min="1032" max="1280" width="9.140625" style="39"/>
    <col min="1281" max="1281" width="8.140625" style="39" customWidth="1"/>
    <col min="1282" max="1282" width="50.7109375" style="39" customWidth="1"/>
    <col min="1283" max="1283" width="10.28515625" style="39" bestFit="1" customWidth="1"/>
    <col min="1284" max="1284" width="9.140625" style="39"/>
    <col min="1285" max="1285" width="8.85546875" style="39" customWidth="1"/>
    <col min="1286" max="1286" width="14.42578125" style="39" customWidth="1"/>
    <col min="1287" max="1287" width="14.140625" style="39" bestFit="1" customWidth="1"/>
    <col min="1288" max="1536" width="9.140625" style="39"/>
    <col min="1537" max="1537" width="8.140625" style="39" customWidth="1"/>
    <col min="1538" max="1538" width="50.7109375" style="39" customWidth="1"/>
    <col min="1539" max="1539" width="10.28515625" style="39" bestFit="1" customWidth="1"/>
    <col min="1540" max="1540" width="9.140625" style="39"/>
    <col min="1541" max="1541" width="8.85546875" style="39" customWidth="1"/>
    <col min="1542" max="1542" width="14.42578125" style="39" customWidth="1"/>
    <col min="1543" max="1543" width="14.140625" style="39" bestFit="1" customWidth="1"/>
    <col min="1544" max="1792" width="9.140625" style="39"/>
    <col min="1793" max="1793" width="8.140625" style="39" customWidth="1"/>
    <col min="1794" max="1794" width="50.7109375" style="39" customWidth="1"/>
    <col min="1795" max="1795" width="10.28515625" style="39" bestFit="1" customWidth="1"/>
    <col min="1796" max="1796" width="9.140625" style="39"/>
    <col min="1797" max="1797" width="8.85546875" style="39" customWidth="1"/>
    <col min="1798" max="1798" width="14.42578125" style="39" customWidth="1"/>
    <col min="1799" max="1799" width="14.140625" style="39" bestFit="1" customWidth="1"/>
    <col min="1800" max="2048" width="9.140625" style="39"/>
    <col min="2049" max="2049" width="8.140625" style="39" customWidth="1"/>
    <col min="2050" max="2050" width="50.7109375" style="39" customWidth="1"/>
    <col min="2051" max="2051" width="10.28515625" style="39" bestFit="1" customWidth="1"/>
    <col min="2052" max="2052" width="9.140625" style="39"/>
    <col min="2053" max="2053" width="8.85546875" style="39" customWidth="1"/>
    <col min="2054" max="2054" width="14.42578125" style="39" customWidth="1"/>
    <col min="2055" max="2055" width="14.140625" style="39" bestFit="1" customWidth="1"/>
    <col min="2056" max="2304" width="9.140625" style="39"/>
    <col min="2305" max="2305" width="8.140625" style="39" customWidth="1"/>
    <col min="2306" max="2306" width="50.7109375" style="39" customWidth="1"/>
    <col min="2307" max="2307" width="10.28515625" style="39" bestFit="1" customWidth="1"/>
    <col min="2308" max="2308" width="9.140625" style="39"/>
    <col min="2309" max="2309" width="8.85546875" style="39" customWidth="1"/>
    <col min="2310" max="2310" width="14.42578125" style="39" customWidth="1"/>
    <col min="2311" max="2311" width="14.140625" style="39" bestFit="1" customWidth="1"/>
    <col min="2312" max="2560" width="9.140625" style="39"/>
    <col min="2561" max="2561" width="8.140625" style="39" customWidth="1"/>
    <col min="2562" max="2562" width="50.7109375" style="39" customWidth="1"/>
    <col min="2563" max="2563" width="10.28515625" style="39" bestFit="1" customWidth="1"/>
    <col min="2564" max="2564" width="9.140625" style="39"/>
    <col min="2565" max="2565" width="8.85546875" style="39" customWidth="1"/>
    <col min="2566" max="2566" width="14.42578125" style="39" customWidth="1"/>
    <col min="2567" max="2567" width="14.140625" style="39" bestFit="1" customWidth="1"/>
    <col min="2568" max="2816" width="9.140625" style="39"/>
    <col min="2817" max="2817" width="8.140625" style="39" customWidth="1"/>
    <col min="2818" max="2818" width="50.7109375" style="39" customWidth="1"/>
    <col min="2819" max="2819" width="10.28515625" style="39" bestFit="1" customWidth="1"/>
    <col min="2820" max="2820" width="9.140625" style="39"/>
    <col min="2821" max="2821" width="8.85546875" style="39" customWidth="1"/>
    <col min="2822" max="2822" width="14.42578125" style="39" customWidth="1"/>
    <col min="2823" max="2823" width="14.140625" style="39" bestFit="1" customWidth="1"/>
    <col min="2824" max="3072" width="9.140625" style="39"/>
    <col min="3073" max="3073" width="8.140625" style="39" customWidth="1"/>
    <col min="3074" max="3074" width="50.7109375" style="39" customWidth="1"/>
    <col min="3075" max="3075" width="10.28515625" style="39" bestFit="1" customWidth="1"/>
    <col min="3076" max="3076" width="9.140625" style="39"/>
    <col min="3077" max="3077" width="8.85546875" style="39" customWidth="1"/>
    <col min="3078" max="3078" width="14.42578125" style="39" customWidth="1"/>
    <col min="3079" max="3079" width="14.140625" style="39" bestFit="1" customWidth="1"/>
    <col min="3080" max="3328" width="9.140625" style="39"/>
    <col min="3329" max="3329" width="8.140625" style="39" customWidth="1"/>
    <col min="3330" max="3330" width="50.7109375" style="39" customWidth="1"/>
    <col min="3331" max="3331" width="10.28515625" style="39" bestFit="1" customWidth="1"/>
    <col min="3332" max="3332" width="9.140625" style="39"/>
    <col min="3333" max="3333" width="8.85546875" style="39" customWidth="1"/>
    <col min="3334" max="3334" width="14.42578125" style="39" customWidth="1"/>
    <col min="3335" max="3335" width="14.140625" style="39" bestFit="1" customWidth="1"/>
    <col min="3336" max="3584" width="9.140625" style="39"/>
    <col min="3585" max="3585" width="8.140625" style="39" customWidth="1"/>
    <col min="3586" max="3586" width="50.7109375" style="39" customWidth="1"/>
    <col min="3587" max="3587" width="10.28515625" style="39" bestFit="1" customWidth="1"/>
    <col min="3588" max="3588" width="9.140625" style="39"/>
    <col min="3589" max="3589" width="8.85546875" style="39" customWidth="1"/>
    <col min="3590" max="3590" width="14.42578125" style="39" customWidth="1"/>
    <col min="3591" max="3591" width="14.140625" style="39" bestFit="1" customWidth="1"/>
    <col min="3592" max="3840" width="9.140625" style="39"/>
    <col min="3841" max="3841" width="8.140625" style="39" customWidth="1"/>
    <col min="3842" max="3842" width="50.7109375" style="39" customWidth="1"/>
    <col min="3843" max="3843" width="10.28515625" style="39" bestFit="1" customWidth="1"/>
    <col min="3844" max="3844" width="9.140625" style="39"/>
    <col min="3845" max="3845" width="8.85546875" style="39" customWidth="1"/>
    <col min="3846" max="3846" width="14.42578125" style="39" customWidth="1"/>
    <col min="3847" max="3847" width="14.140625" style="39" bestFit="1" customWidth="1"/>
    <col min="3848" max="4096" width="9.140625" style="39"/>
    <col min="4097" max="4097" width="8.140625" style="39" customWidth="1"/>
    <col min="4098" max="4098" width="50.7109375" style="39" customWidth="1"/>
    <col min="4099" max="4099" width="10.28515625" style="39" bestFit="1" customWidth="1"/>
    <col min="4100" max="4100" width="9.140625" style="39"/>
    <col min="4101" max="4101" width="8.85546875" style="39" customWidth="1"/>
    <col min="4102" max="4102" width="14.42578125" style="39" customWidth="1"/>
    <col min="4103" max="4103" width="14.140625" style="39" bestFit="1" customWidth="1"/>
    <col min="4104" max="4352" width="9.140625" style="39"/>
    <col min="4353" max="4353" width="8.140625" style="39" customWidth="1"/>
    <col min="4354" max="4354" width="50.7109375" style="39" customWidth="1"/>
    <col min="4355" max="4355" width="10.28515625" style="39" bestFit="1" customWidth="1"/>
    <col min="4356" max="4356" width="9.140625" style="39"/>
    <col min="4357" max="4357" width="8.85546875" style="39" customWidth="1"/>
    <col min="4358" max="4358" width="14.42578125" style="39" customWidth="1"/>
    <col min="4359" max="4359" width="14.140625" style="39" bestFit="1" customWidth="1"/>
    <col min="4360" max="4608" width="9.140625" style="39"/>
    <col min="4609" max="4609" width="8.140625" style="39" customWidth="1"/>
    <col min="4610" max="4610" width="50.7109375" style="39" customWidth="1"/>
    <col min="4611" max="4611" width="10.28515625" style="39" bestFit="1" customWidth="1"/>
    <col min="4612" max="4612" width="9.140625" style="39"/>
    <col min="4613" max="4613" width="8.85546875" style="39" customWidth="1"/>
    <col min="4614" max="4614" width="14.42578125" style="39" customWidth="1"/>
    <col min="4615" max="4615" width="14.140625" style="39" bestFit="1" customWidth="1"/>
    <col min="4616" max="4864" width="9.140625" style="39"/>
    <col min="4865" max="4865" width="8.140625" style="39" customWidth="1"/>
    <col min="4866" max="4866" width="50.7109375" style="39" customWidth="1"/>
    <col min="4867" max="4867" width="10.28515625" style="39" bestFit="1" customWidth="1"/>
    <col min="4868" max="4868" width="9.140625" style="39"/>
    <col min="4869" max="4869" width="8.85546875" style="39" customWidth="1"/>
    <col min="4870" max="4870" width="14.42578125" style="39" customWidth="1"/>
    <col min="4871" max="4871" width="14.140625" style="39" bestFit="1" customWidth="1"/>
    <col min="4872" max="5120" width="9.140625" style="39"/>
    <col min="5121" max="5121" width="8.140625" style="39" customWidth="1"/>
    <col min="5122" max="5122" width="50.7109375" style="39" customWidth="1"/>
    <col min="5123" max="5123" width="10.28515625" style="39" bestFit="1" customWidth="1"/>
    <col min="5124" max="5124" width="9.140625" style="39"/>
    <col min="5125" max="5125" width="8.85546875" style="39" customWidth="1"/>
    <col min="5126" max="5126" width="14.42578125" style="39" customWidth="1"/>
    <col min="5127" max="5127" width="14.140625" style="39" bestFit="1" customWidth="1"/>
    <col min="5128" max="5376" width="9.140625" style="39"/>
    <col min="5377" max="5377" width="8.140625" style="39" customWidth="1"/>
    <col min="5378" max="5378" width="50.7109375" style="39" customWidth="1"/>
    <col min="5379" max="5379" width="10.28515625" style="39" bestFit="1" customWidth="1"/>
    <col min="5380" max="5380" width="9.140625" style="39"/>
    <col min="5381" max="5381" width="8.85546875" style="39" customWidth="1"/>
    <col min="5382" max="5382" width="14.42578125" style="39" customWidth="1"/>
    <col min="5383" max="5383" width="14.140625" style="39" bestFit="1" customWidth="1"/>
    <col min="5384" max="5632" width="9.140625" style="39"/>
    <col min="5633" max="5633" width="8.140625" style="39" customWidth="1"/>
    <col min="5634" max="5634" width="50.7109375" style="39" customWidth="1"/>
    <col min="5635" max="5635" width="10.28515625" style="39" bestFit="1" customWidth="1"/>
    <col min="5636" max="5636" width="9.140625" style="39"/>
    <col min="5637" max="5637" width="8.85546875" style="39" customWidth="1"/>
    <col min="5638" max="5638" width="14.42578125" style="39" customWidth="1"/>
    <col min="5639" max="5639" width="14.140625" style="39" bestFit="1" customWidth="1"/>
    <col min="5640" max="5888" width="9.140625" style="39"/>
    <col min="5889" max="5889" width="8.140625" style="39" customWidth="1"/>
    <col min="5890" max="5890" width="50.7109375" style="39" customWidth="1"/>
    <col min="5891" max="5891" width="10.28515625" style="39" bestFit="1" customWidth="1"/>
    <col min="5892" max="5892" width="9.140625" style="39"/>
    <col min="5893" max="5893" width="8.85546875" style="39" customWidth="1"/>
    <col min="5894" max="5894" width="14.42578125" style="39" customWidth="1"/>
    <col min="5895" max="5895" width="14.140625" style="39" bestFit="1" customWidth="1"/>
    <col min="5896" max="6144" width="9.140625" style="39"/>
    <col min="6145" max="6145" width="8.140625" style="39" customWidth="1"/>
    <col min="6146" max="6146" width="50.7109375" style="39" customWidth="1"/>
    <col min="6147" max="6147" width="10.28515625" style="39" bestFit="1" customWidth="1"/>
    <col min="6148" max="6148" width="9.140625" style="39"/>
    <col min="6149" max="6149" width="8.85546875" style="39" customWidth="1"/>
    <col min="6150" max="6150" width="14.42578125" style="39" customWidth="1"/>
    <col min="6151" max="6151" width="14.140625" style="39" bestFit="1" customWidth="1"/>
    <col min="6152" max="6400" width="9.140625" style="39"/>
    <col min="6401" max="6401" width="8.140625" style="39" customWidth="1"/>
    <col min="6402" max="6402" width="50.7109375" style="39" customWidth="1"/>
    <col min="6403" max="6403" width="10.28515625" style="39" bestFit="1" customWidth="1"/>
    <col min="6404" max="6404" width="9.140625" style="39"/>
    <col min="6405" max="6405" width="8.85546875" style="39" customWidth="1"/>
    <col min="6406" max="6406" width="14.42578125" style="39" customWidth="1"/>
    <col min="6407" max="6407" width="14.140625" style="39" bestFit="1" customWidth="1"/>
    <col min="6408" max="6656" width="9.140625" style="39"/>
    <col min="6657" max="6657" width="8.140625" style="39" customWidth="1"/>
    <col min="6658" max="6658" width="50.7109375" style="39" customWidth="1"/>
    <col min="6659" max="6659" width="10.28515625" style="39" bestFit="1" customWidth="1"/>
    <col min="6660" max="6660" width="9.140625" style="39"/>
    <col min="6661" max="6661" width="8.85546875" style="39" customWidth="1"/>
    <col min="6662" max="6662" width="14.42578125" style="39" customWidth="1"/>
    <col min="6663" max="6663" width="14.140625" style="39" bestFit="1" customWidth="1"/>
    <col min="6664" max="6912" width="9.140625" style="39"/>
    <col min="6913" max="6913" width="8.140625" style="39" customWidth="1"/>
    <col min="6914" max="6914" width="50.7109375" style="39" customWidth="1"/>
    <col min="6915" max="6915" width="10.28515625" style="39" bestFit="1" customWidth="1"/>
    <col min="6916" max="6916" width="9.140625" style="39"/>
    <col min="6917" max="6917" width="8.85546875" style="39" customWidth="1"/>
    <col min="6918" max="6918" width="14.42578125" style="39" customWidth="1"/>
    <col min="6919" max="6919" width="14.140625" style="39" bestFit="1" customWidth="1"/>
    <col min="6920" max="7168" width="9.140625" style="39"/>
    <col min="7169" max="7169" width="8.140625" style="39" customWidth="1"/>
    <col min="7170" max="7170" width="50.7109375" style="39" customWidth="1"/>
    <col min="7171" max="7171" width="10.28515625" style="39" bestFit="1" customWidth="1"/>
    <col min="7172" max="7172" width="9.140625" style="39"/>
    <col min="7173" max="7173" width="8.85546875" style="39" customWidth="1"/>
    <col min="7174" max="7174" width="14.42578125" style="39" customWidth="1"/>
    <col min="7175" max="7175" width="14.140625" style="39" bestFit="1" customWidth="1"/>
    <col min="7176" max="7424" width="9.140625" style="39"/>
    <col min="7425" max="7425" width="8.140625" style="39" customWidth="1"/>
    <col min="7426" max="7426" width="50.7109375" style="39" customWidth="1"/>
    <col min="7427" max="7427" width="10.28515625" style="39" bestFit="1" customWidth="1"/>
    <col min="7428" max="7428" width="9.140625" style="39"/>
    <col min="7429" max="7429" width="8.85546875" style="39" customWidth="1"/>
    <col min="7430" max="7430" width="14.42578125" style="39" customWidth="1"/>
    <col min="7431" max="7431" width="14.140625" style="39" bestFit="1" customWidth="1"/>
    <col min="7432" max="7680" width="9.140625" style="39"/>
    <col min="7681" max="7681" width="8.140625" style="39" customWidth="1"/>
    <col min="7682" max="7682" width="50.7109375" style="39" customWidth="1"/>
    <col min="7683" max="7683" width="10.28515625" style="39" bestFit="1" customWidth="1"/>
    <col min="7684" max="7684" width="9.140625" style="39"/>
    <col min="7685" max="7685" width="8.85546875" style="39" customWidth="1"/>
    <col min="7686" max="7686" width="14.42578125" style="39" customWidth="1"/>
    <col min="7687" max="7687" width="14.140625" style="39" bestFit="1" customWidth="1"/>
    <col min="7688" max="7936" width="9.140625" style="39"/>
    <col min="7937" max="7937" width="8.140625" style="39" customWidth="1"/>
    <col min="7938" max="7938" width="50.7109375" style="39" customWidth="1"/>
    <col min="7939" max="7939" width="10.28515625" style="39" bestFit="1" customWidth="1"/>
    <col min="7940" max="7940" width="9.140625" style="39"/>
    <col min="7941" max="7941" width="8.85546875" style="39" customWidth="1"/>
    <col min="7942" max="7942" width="14.42578125" style="39" customWidth="1"/>
    <col min="7943" max="7943" width="14.140625" style="39" bestFit="1" customWidth="1"/>
    <col min="7944" max="8192" width="9.140625" style="39"/>
    <col min="8193" max="8193" width="8.140625" style="39" customWidth="1"/>
    <col min="8194" max="8194" width="50.7109375" style="39" customWidth="1"/>
    <col min="8195" max="8195" width="10.28515625" style="39" bestFit="1" customWidth="1"/>
    <col min="8196" max="8196" width="9.140625" style="39"/>
    <col min="8197" max="8197" width="8.85546875" style="39" customWidth="1"/>
    <col min="8198" max="8198" width="14.42578125" style="39" customWidth="1"/>
    <col min="8199" max="8199" width="14.140625" style="39" bestFit="1" customWidth="1"/>
    <col min="8200" max="8448" width="9.140625" style="39"/>
    <col min="8449" max="8449" width="8.140625" style="39" customWidth="1"/>
    <col min="8450" max="8450" width="50.7109375" style="39" customWidth="1"/>
    <col min="8451" max="8451" width="10.28515625" style="39" bestFit="1" customWidth="1"/>
    <col min="8452" max="8452" width="9.140625" style="39"/>
    <col min="8453" max="8453" width="8.85546875" style="39" customWidth="1"/>
    <col min="8454" max="8454" width="14.42578125" style="39" customWidth="1"/>
    <col min="8455" max="8455" width="14.140625" style="39" bestFit="1" customWidth="1"/>
    <col min="8456" max="8704" width="9.140625" style="39"/>
    <col min="8705" max="8705" width="8.140625" style="39" customWidth="1"/>
    <col min="8706" max="8706" width="50.7109375" style="39" customWidth="1"/>
    <col min="8707" max="8707" width="10.28515625" style="39" bestFit="1" customWidth="1"/>
    <col min="8708" max="8708" width="9.140625" style="39"/>
    <col min="8709" max="8709" width="8.85546875" style="39" customWidth="1"/>
    <col min="8710" max="8710" width="14.42578125" style="39" customWidth="1"/>
    <col min="8711" max="8711" width="14.140625" style="39" bestFit="1" customWidth="1"/>
    <col min="8712" max="8960" width="9.140625" style="39"/>
    <col min="8961" max="8961" width="8.140625" style="39" customWidth="1"/>
    <col min="8962" max="8962" width="50.7109375" style="39" customWidth="1"/>
    <col min="8963" max="8963" width="10.28515625" style="39" bestFit="1" customWidth="1"/>
    <col min="8964" max="8964" width="9.140625" style="39"/>
    <col min="8965" max="8965" width="8.85546875" style="39" customWidth="1"/>
    <col min="8966" max="8966" width="14.42578125" style="39" customWidth="1"/>
    <col min="8967" max="8967" width="14.140625" style="39" bestFit="1" customWidth="1"/>
    <col min="8968" max="9216" width="9.140625" style="39"/>
    <col min="9217" max="9217" width="8.140625" style="39" customWidth="1"/>
    <col min="9218" max="9218" width="50.7109375" style="39" customWidth="1"/>
    <col min="9219" max="9219" width="10.28515625" style="39" bestFit="1" customWidth="1"/>
    <col min="9220" max="9220" width="9.140625" style="39"/>
    <col min="9221" max="9221" width="8.85546875" style="39" customWidth="1"/>
    <col min="9222" max="9222" width="14.42578125" style="39" customWidth="1"/>
    <col min="9223" max="9223" width="14.140625" style="39" bestFit="1" customWidth="1"/>
    <col min="9224" max="9472" width="9.140625" style="39"/>
    <col min="9473" max="9473" width="8.140625" style="39" customWidth="1"/>
    <col min="9474" max="9474" width="50.7109375" style="39" customWidth="1"/>
    <col min="9475" max="9475" width="10.28515625" style="39" bestFit="1" customWidth="1"/>
    <col min="9476" max="9476" width="9.140625" style="39"/>
    <col min="9477" max="9477" width="8.85546875" style="39" customWidth="1"/>
    <col min="9478" max="9478" width="14.42578125" style="39" customWidth="1"/>
    <col min="9479" max="9479" width="14.140625" style="39" bestFit="1" customWidth="1"/>
    <col min="9480" max="9728" width="9.140625" style="39"/>
    <col min="9729" max="9729" width="8.140625" style="39" customWidth="1"/>
    <col min="9730" max="9730" width="50.7109375" style="39" customWidth="1"/>
    <col min="9731" max="9731" width="10.28515625" style="39" bestFit="1" customWidth="1"/>
    <col min="9732" max="9732" width="9.140625" style="39"/>
    <col min="9733" max="9733" width="8.85546875" style="39" customWidth="1"/>
    <col min="9734" max="9734" width="14.42578125" style="39" customWidth="1"/>
    <col min="9735" max="9735" width="14.140625" style="39" bestFit="1" customWidth="1"/>
    <col min="9736" max="9984" width="9.140625" style="39"/>
    <col min="9985" max="9985" width="8.140625" style="39" customWidth="1"/>
    <col min="9986" max="9986" width="50.7109375" style="39" customWidth="1"/>
    <col min="9987" max="9987" width="10.28515625" style="39" bestFit="1" customWidth="1"/>
    <col min="9988" max="9988" width="9.140625" style="39"/>
    <col min="9989" max="9989" width="8.85546875" style="39" customWidth="1"/>
    <col min="9990" max="9990" width="14.42578125" style="39" customWidth="1"/>
    <col min="9991" max="9991" width="14.140625" style="39" bestFit="1" customWidth="1"/>
    <col min="9992" max="10240" width="9.140625" style="39"/>
    <col min="10241" max="10241" width="8.140625" style="39" customWidth="1"/>
    <col min="10242" max="10242" width="50.7109375" style="39" customWidth="1"/>
    <col min="10243" max="10243" width="10.28515625" style="39" bestFit="1" customWidth="1"/>
    <col min="10244" max="10244" width="9.140625" style="39"/>
    <col min="10245" max="10245" width="8.85546875" style="39" customWidth="1"/>
    <col min="10246" max="10246" width="14.42578125" style="39" customWidth="1"/>
    <col min="10247" max="10247" width="14.140625" style="39" bestFit="1" customWidth="1"/>
    <col min="10248" max="10496" width="9.140625" style="39"/>
    <col min="10497" max="10497" width="8.140625" style="39" customWidth="1"/>
    <col min="10498" max="10498" width="50.7109375" style="39" customWidth="1"/>
    <col min="10499" max="10499" width="10.28515625" style="39" bestFit="1" customWidth="1"/>
    <col min="10500" max="10500" width="9.140625" style="39"/>
    <col min="10501" max="10501" width="8.85546875" style="39" customWidth="1"/>
    <col min="10502" max="10502" width="14.42578125" style="39" customWidth="1"/>
    <col min="10503" max="10503" width="14.140625" style="39" bestFit="1" customWidth="1"/>
    <col min="10504" max="10752" width="9.140625" style="39"/>
    <col min="10753" max="10753" width="8.140625" style="39" customWidth="1"/>
    <col min="10754" max="10754" width="50.7109375" style="39" customWidth="1"/>
    <col min="10755" max="10755" width="10.28515625" style="39" bestFit="1" customWidth="1"/>
    <col min="10756" max="10756" width="9.140625" style="39"/>
    <col min="10757" max="10757" width="8.85546875" style="39" customWidth="1"/>
    <col min="10758" max="10758" width="14.42578125" style="39" customWidth="1"/>
    <col min="10759" max="10759" width="14.140625" style="39" bestFit="1" customWidth="1"/>
    <col min="10760" max="11008" width="9.140625" style="39"/>
    <col min="11009" max="11009" width="8.140625" style="39" customWidth="1"/>
    <col min="11010" max="11010" width="50.7109375" style="39" customWidth="1"/>
    <col min="11011" max="11011" width="10.28515625" style="39" bestFit="1" customWidth="1"/>
    <col min="11012" max="11012" width="9.140625" style="39"/>
    <col min="11013" max="11013" width="8.85546875" style="39" customWidth="1"/>
    <col min="11014" max="11014" width="14.42578125" style="39" customWidth="1"/>
    <col min="11015" max="11015" width="14.140625" style="39" bestFit="1" customWidth="1"/>
    <col min="11016" max="11264" width="9.140625" style="39"/>
    <col min="11265" max="11265" width="8.140625" style="39" customWidth="1"/>
    <col min="11266" max="11266" width="50.7109375" style="39" customWidth="1"/>
    <col min="11267" max="11267" width="10.28515625" style="39" bestFit="1" customWidth="1"/>
    <col min="11268" max="11268" width="9.140625" style="39"/>
    <col min="11269" max="11269" width="8.85546875" style="39" customWidth="1"/>
    <col min="11270" max="11270" width="14.42578125" style="39" customWidth="1"/>
    <col min="11271" max="11271" width="14.140625" style="39" bestFit="1" customWidth="1"/>
    <col min="11272" max="11520" width="9.140625" style="39"/>
    <col min="11521" max="11521" width="8.140625" style="39" customWidth="1"/>
    <col min="11522" max="11522" width="50.7109375" style="39" customWidth="1"/>
    <col min="11523" max="11523" width="10.28515625" style="39" bestFit="1" customWidth="1"/>
    <col min="11524" max="11524" width="9.140625" style="39"/>
    <col min="11525" max="11525" width="8.85546875" style="39" customWidth="1"/>
    <col min="11526" max="11526" width="14.42578125" style="39" customWidth="1"/>
    <col min="11527" max="11527" width="14.140625" style="39" bestFit="1" customWidth="1"/>
    <col min="11528" max="11776" width="9.140625" style="39"/>
    <col min="11777" max="11777" width="8.140625" style="39" customWidth="1"/>
    <col min="11778" max="11778" width="50.7109375" style="39" customWidth="1"/>
    <col min="11779" max="11779" width="10.28515625" style="39" bestFit="1" customWidth="1"/>
    <col min="11780" max="11780" width="9.140625" style="39"/>
    <col min="11781" max="11781" width="8.85546875" style="39" customWidth="1"/>
    <col min="11782" max="11782" width="14.42578125" style="39" customWidth="1"/>
    <col min="11783" max="11783" width="14.140625" style="39" bestFit="1" customWidth="1"/>
    <col min="11784" max="12032" width="9.140625" style="39"/>
    <col min="12033" max="12033" width="8.140625" style="39" customWidth="1"/>
    <col min="12034" max="12034" width="50.7109375" style="39" customWidth="1"/>
    <col min="12035" max="12035" width="10.28515625" style="39" bestFit="1" customWidth="1"/>
    <col min="12036" max="12036" width="9.140625" style="39"/>
    <col min="12037" max="12037" width="8.85546875" style="39" customWidth="1"/>
    <col min="12038" max="12038" width="14.42578125" style="39" customWidth="1"/>
    <col min="12039" max="12039" width="14.140625" style="39" bestFit="1" customWidth="1"/>
    <col min="12040" max="12288" width="9.140625" style="39"/>
    <col min="12289" max="12289" width="8.140625" style="39" customWidth="1"/>
    <col min="12290" max="12290" width="50.7109375" style="39" customWidth="1"/>
    <col min="12291" max="12291" width="10.28515625" style="39" bestFit="1" customWidth="1"/>
    <col min="12292" max="12292" width="9.140625" style="39"/>
    <col min="12293" max="12293" width="8.85546875" style="39" customWidth="1"/>
    <col min="12294" max="12294" width="14.42578125" style="39" customWidth="1"/>
    <col min="12295" max="12295" width="14.140625" style="39" bestFit="1" customWidth="1"/>
    <col min="12296" max="12544" width="9.140625" style="39"/>
    <col min="12545" max="12545" width="8.140625" style="39" customWidth="1"/>
    <col min="12546" max="12546" width="50.7109375" style="39" customWidth="1"/>
    <col min="12547" max="12547" width="10.28515625" style="39" bestFit="1" customWidth="1"/>
    <col min="12548" max="12548" width="9.140625" style="39"/>
    <col min="12549" max="12549" width="8.85546875" style="39" customWidth="1"/>
    <col min="12550" max="12550" width="14.42578125" style="39" customWidth="1"/>
    <col min="12551" max="12551" width="14.140625" style="39" bestFit="1" customWidth="1"/>
    <col min="12552" max="12800" width="9.140625" style="39"/>
    <col min="12801" max="12801" width="8.140625" style="39" customWidth="1"/>
    <col min="12802" max="12802" width="50.7109375" style="39" customWidth="1"/>
    <col min="12803" max="12803" width="10.28515625" style="39" bestFit="1" customWidth="1"/>
    <col min="12804" max="12804" width="9.140625" style="39"/>
    <col min="12805" max="12805" width="8.85546875" style="39" customWidth="1"/>
    <col min="12806" max="12806" width="14.42578125" style="39" customWidth="1"/>
    <col min="12807" max="12807" width="14.140625" style="39" bestFit="1" customWidth="1"/>
    <col min="12808" max="13056" width="9.140625" style="39"/>
    <col min="13057" max="13057" width="8.140625" style="39" customWidth="1"/>
    <col min="13058" max="13058" width="50.7109375" style="39" customWidth="1"/>
    <col min="13059" max="13059" width="10.28515625" style="39" bestFit="1" customWidth="1"/>
    <col min="13060" max="13060" width="9.140625" style="39"/>
    <col min="13061" max="13061" width="8.85546875" style="39" customWidth="1"/>
    <col min="13062" max="13062" width="14.42578125" style="39" customWidth="1"/>
    <col min="13063" max="13063" width="14.140625" style="39" bestFit="1" customWidth="1"/>
    <col min="13064" max="13312" width="9.140625" style="39"/>
    <col min="13313" max="13313" width="8.140625" style="39" customWidth="1"/>
    <col min="13314" max="13314" width="50.7109375" style="39" customWidth="1"/>
    <col min="13315" max="13315" width="10.28515625" style="39" bestFit="1" customWidth="1"/>
    <col min="13316" max="13316" width="9.140625" style="39"/>
    <col min="13317" max="13317" width="8.85546875" style="39" customWidth="1"/>
    <col min="13318" max="13318" width="14.42578125" style="39" customWidth="1"/>
    <col min="13319" max="13319" width="14.140625" style="39" bestFit="1" customWidth="1"/>
    <col min="13320" max="13568" width="9.140625" style="39"/>
    <col min="13569" max="13569" width="8.140625" style="39" customWidth="1"/>
    <col min="13570" max="13570" width="50.7109375" style="39" customWidth="1"/>
    <col min="13571" max="13571" width="10.28515625" style="39" bestFit="1" customWidth="1"/>
    <col min="13572" max="13572" width="9.140625" style="39"/>
    <col min="13573" max="13573" width="8.85546875" style="39" customWidth="1"/>
    <col min="13574" max="13574" width="14.42578125" style="39" customWidth="1"/>
    <col min="13575" max="13575" width="14.140625" style="39" bestFit="1" customWidth="1"/>
    <col min="13576" max="13824" width="9.140625" style="39"/>
    <col min="13825" max="13825" width="8.140625" style="39" customWidth="1"/>
    <col min="13826" max="13826" width="50.7109375" style="39" customWidth="1"/>
    <col min="13827" max="13827" width="10.28515625" style="39" bestFit="1" customWidth="1"/>
    <col min="13828" max="13828" width="9.140625" style="39"/>
    <col min="13829" max="13829" width="8.85546875" style="39" customWidth="1"/>
    <col min="13830" max="13830" width="14.42578125" style="39" customWidth="1"/>
    <col min="13831" max="13831" width="14.140625" style="39" bestFit="1" customWidth="1"/>
    <col min="13832" max="14080" width="9.140625" style="39"/>
    <col min="14081" max="14081" width="8.140625" style="39" customWidth="1"/>
    <col min="14082" max="14082" width="50.7109375" style="39" customWidth="1"/>
    <col min="14083" max="14083" width="10.28515625" style="39" bestFit="1" customWidth="1"/>
    <col min="14084" max="14084" width="9.140625" style="39"/>
    <col min="14085" max="14085" width="8.85546875" style="39" customWidth="1"/>
    <col min="14086" max="14086" width="14.42578125" style="39" customWidth="1"/>
    <col min="14087" max="14087" width="14.140625" style="39" bestFit="1" customWidth="1"/>
    <col min="14088" max="14336" width="9.140625" style="39"/>
    <col min="14337" max="14337" width="8.140625" style="39" customWidth="1"/>
    <col min="14338" max="14338" width="50.7109375" style="39" customWidth="1"/>
    <col min="14339" max="14339" width="10.28515625" style="39" bestFit="1" customWidth="1"/>
    <col min="14340" max="14340" width="9.140625" style="39"/>
    <col min="14341" max="14341" width="8.85546875" style="39" customWidth="1"/>
    <col min="14342" max="14342" width="14.42578125" style="39" customWidth="1"/>
    <col min="14343" max="14343" width="14.140625" style="39" bestFit="1" customWidth="1"/>
    <col min="14344" max="14592" width="9.140625" style="39"/>
    <col min="14593" max="14593" width="8.140625" style="39" customWidth="1"/>
    <col min="14594" max="14594" width="50.7109375" style="39" customWidth="1"/>
    <col min="14595" max="14595" width="10.28515625" style="39" bestFit="1" customWidth="1"/>
    <col min="14596" max="14596" width="9.140625" style="39"/>
    <col min="14597" max="14597" width="8.85546875" style="39" customWidth="1"/>
    <col min="14598" max="14598" width="14.42578125" style="39" customWidth="1"/>
    <col min="14599" max="14599" width="14.140625" style="39" bestFit="1" customWidth="1"/>
    <col min="14600" max="14848" width="9.140625" style="39"/>
    <col min="14849" max="14849" width="8.140625" style="39" customWidth="1"/>
    <col min="14850" max="14850" width="50.7109375" style="39" customWidth="1"/>
    <col min="14851" max="14851" width="10.28515625" style="39" bestFit="1" customWidth="1"/>
    <col min="14852" max="14852" width="9.140625" style="39"/>
    <col min="14853" max="14853" width="8.85546875" style="39" customWidth="1"/>
    <col min="14854" max="14854" width="14.42578125" style="39" customWidth="1"/>
    <col min="14855" max="14855" width="14.140625" style="39" bestFit="1" customWidth="1"/>
    <col min="14856" max="15104" width="9.140625" style="39"/>
    <col min="15105" max="15105" width="8.140625" style="39" customWidth="1"/>
    <col min="15106" max="15106" width="50.7109375" style="39" customWidth="1"/>
    <col min="15107" max="15107" width="10.28515625" style="39" bestFit="1" customWidth="1"/>
    <col min="15108" max="15108" width="9.140625" style="39"/>
    <col min="15109" max="15109" width="8.85546875" style="39" customWidth="1"/>
    <col min="15110" max="15110" width="14.42578125" style="39" customWidth="1"/>
    <col min="15111" max="15111" width="14.140625" style="39" bestFit="1" customWidth="1"/>
    <col min="15112" max="15360" width="9.140625" style="39"/>
    <col min="15361" max="15361" width="8.140625" style="39" customWidth="1"/>
    <col min="15362" max="15362" width="50.7109375" style="39" customWidth="1"/>
    <col min="15363" max="15363" width="10.28515625" style="39" bestFit="1" customWidth="1"/>
    <col min="15364" max="15364" width="9.140625" style="39"/>
    <col min="15365" max="15365" width="8.85546875" style="39" customWidth="1"/>
    <col min="15366" max="15366" width="14.42578125" style="39" customWidth="1"/>
    <col min="15367" max="15367" width="14.140625" style="39" bestFit="1" customWidth="1"/>
    <col min="15368" max="15616" width="9.140625" style="39"/>
    <col min="15617" max="15617" width="8.140625" style="39" customWidth="1"/>
    <col min="15618" max="15618" width="50.7109375" style="39" customWidth="1"/>
    <col min="15619" max="15619" width="10.28515625" style="39" bestFit="1" customWidth="1"/>
    <col min="15620" max="15620" width="9.140625" style="39"/>
    <col min="15621" max="15621" width="8.85546875" style="39" customWidth="1"/>
    <col min="15622" max="15622" width="14.42578125" style="39" customWidth="1"/>
    <col min="15623" max="15623" width="14.140625" style="39" bestFit="1" customWidth="1"/>
    <col min="15624" max="15872" width="9.140625" style="39"/>
    <col min="15873" max="15873" width="8.140625" style="39" customWidth="1"/>
    <col min="15874" max="15874" width="50.7109375" style="39" customWidth="1"/>
    <col min="15875" max="15875" width="10.28515625" style="39" bestFit="1" customWidth="1"/>
    <col min="15876" max="15876" width="9.140625" style="39"/>
    <col min="15877" max="15877" width="8.85546875" style="39" customWidth="1"/>
    <col min="15878" max="15878" width="14.42578125" style="39" customWidth="1"/>
    <col min="15879" max="15879" width="14.140625" style="39" bestFit="1" customWidth="1"/>
    <col min="15880" max="16128" width="9.140625" style="39"/>
    <col min="16129" max="16129" width="8.140625" style="39" customWidth="1"/>
    <col min="16130" max="16130" width="50.7109375" style="39" customWidth="1"/>
    <col min="16131" max="16131" width="10.28515625" style="39" bestFit="1" customWidth="1"/>
    <col min="16132" max="16132" width="9.140625" style="39"/>
    <col min="16133" max="16133" width="8.85546875" style="39" customWidth="1"/>
    <col min="16134" max="16134" width="14.42578125" style="39" customWidth="1"/>
    <col min="16135" max="16135" width="14.140625" style="39" bestFit="1" customWidth="1"/>
    <col min="16136" max="16384" width="9.140625" style="39"/>
  </cols>
  <sheetData>
    <row r="1" spans="1:10" ht="15" x14ac:dyDescent="0.25">
      <c r="A1" s="12" t="s">
        <v>0</v>
      </c>
      <c r="B1" s="2"/>
      <c r="C1" s="9"/>
      <c r="D1" s="9"/>
      <c r="E1" s="54"/>
      <c r="F1" s="193" t="e">
        <f>Summary!#REF!</f>
        <v>#REF!</v>
      </c>
      <c r="G1" s="193"/>
      <c r="I1" s="54"/>
    </row>
    <row r="2" spans="1:10" ht="15" x14ac:dyDescent="0.25">
      <c r="A2" s="1" t="e">
        <f>Summary!#REF!</f>
        <v>#REF!</v>
      </c>
      <c r="B2" s="5"/>
      <c r="C2" s="38"/>
      <c r="D2" s="38"/>
      <c r="E2" s="55"/>
      <c r="F2" s="3"/>
      <c r="G2" s="3"/>
      <c r="I2" s="55"/>
    </row>
    <row r="3" spans="1:10" ht="15" x14ac:dyDescent="0.25">
      <c r="A3" s="1" t="e">
        <f>Summary!#REF!</f>
        <v>#REF!</v>
      </c>
      <c r="B3" s="6"/>
      <c r="C3" s="9"/>
      <c r="D3" s="9"/>
      <c r="E3" s="54"/>
      <c r="F3" s="6"/>
      <c r="G3" s="6"/>
      <c r="I3" s="54"/>
    </row>
    <row r="4" spans="1:10" ht="15" x14ac:dyDescent="0.25">
      <c r="A4" s="12" t="s">
        <v>245</v>
      </c>
      <c r="B4" s="2"/>
      <c r="C4" s="9"/>
      <c r="D4" s="9"/>
      <c r="E4" s="54"/>
      <c r="F4" s="193"/>
      <c r="G4" s="193"/>
      <c r="I4" s="54"/>
    </row>
    <row r="5" spans="1:10" ht="15" x14ac:dyDescent="0.25">
      <c r="A5" s="12" t="s">
        <v>246</v>
      </c>
      <c r="B5" s="5"/>
      <c r="C5" s="38"/>
      <c r="D5" s="38"/>
      <c r="E5" s="55"/>
      <c r="F5" s="3"/>
      <c r="G5" s="3"/>
      <c r="I5" s="55"/>
    </row>
    <row r="6" spans="1:10" ht="15" x14ac:dyDescent="0.25">
      <c r="A6" s="12" t="s">
        <v>247</v>
      </c>
      <c r="B6" s="6"/>
      <c r="C6" s="9"/>
      <c r="D6" s="9"/>
      <c r="E6" s="54"/>
      <c r="F6" s="6"/>
      <c r="G6" s="6"/>
      <c r="I6" s="54"/>
    </row>
    <row r="7" spans="1:10" ht="15" x14ac:dyDescent="0.25">
      <c r="A7" s="12"/>
      <c r="B7" s="6"/>
      <c r="C7" s="9"/>
      <c r="D7" s="9"/>
      <c r="E7" s="54"/>
      <c r="F7" s="6"/>
      <c r="G7" s="6"/>
      <c r="I7" s="54"/>
    </row>
    <row r="8" spans="1:10" s="7" customFormat="1" ht="15" x14ac:dyDescent="0.25">
      <c r="A8" s="86" t="s">
        <v>146</v>
      </c>
      <c r="B8" s="13" t="s">
        <v>248</v>
      </c>
      <c r="C8" s="13" t="s">
        <v>148</v>
      </c>
      <c r="D8" s="13" t="s">
        <v>149</v>
      </c>
      <c r="E8" s="56" t="s">
        <v>150</v>
      </c>
      <c r="F8" s="13" t="s">
        <v>151</v>
      </c>
      <c r="G8" s="13" t="s">
        <v>249</v>
      </c>
      <c r="I8" s="56" t="s">
        <v>250</v>
      </c>
      <c r="J8" s="1"/>
    </row>
    <row r="9" spans="1:10" s="8" customFormat="1" ht="15" x14ac:dyDescent="0.25">
      <c r="A9" s="87" t="s">
        <v>153</v>
      </c>
      <c r="B9" s="81" t="s">
        <v>170</v>
      </c>
      <c r="C9" s="66"/>
      <c r="D9" s="67"/>
      <c r="E9" s="82"/>
      <c r="F9" s="67"/>
      <c r="G9" s="69">
        <f>SUM(G10:G37)</f>
        <v>0</v>
      </c>
      <c r="I9" s="56" t="s">
        <v>251</v>
      </c>
    </row>
    <row r="10" spans="1:10" s="11" customFormat="1" ht="15" x14ac:dyDescent="0.25">
      <c r="A10" s="90">
        <v>1</v>
      </c>
      <c r="B10" s="78" t="s">
        <v>213</v>
      </c>
      <c r="C10" s="71"/>
      <c r="D10" s="72"/>
      <c r="E10" s="79"/>
      <c r="F10" s="74"/>
      <c r="G10" s="80">
        <f>SUM(F10:F12)</f>
        <v>0</v>
      </c>
      <c r="I10" s="79"/>
    </row>
    <row r="11" spans="1:10" s="4" customFormat="1" ht="14.25" x14ac:dyDescent="0.2">
      <c r="A11" s="91">
        <v>1.1000000000000001</v>
      </c>
      <c r="B11" s="18" t="s">
        <v>123</v>
      </c>
      <c r="C11" s="15"/>
      <c r="D11" s="14" t="s">
        <v>14</v>
      </c>
      <c r="E11" s="57"/>
      <c r="F11" s="16">
        <f>E11*C11</f>
        <v>0</v>
      </c>
      <c r="G11" s="21"/>
      <c r="I11" s="57"/>
    </row>
    <row r="12" spans="1:10" s="11" customFormat="1" ht="15" x14ac:dyDescent="0.25">
      <c r="A12" s="90">
        <v>2</v>
      </c>
      <c r="B12" s="78" t="s">
        <v>252</v>
      </c>
      <c r="C12" s="71"/>
      <c r="D12" s="72"/>
      <c r="E12" s="79"/>
      <c r="F12" s="74"/>
      <c r="G12" s="80">
        <f>SUM(F12:F16)</f>
        <v>0</v>
      </c>
      <c r="I12" s="79"/>
    </row>
    <row r="13" spans="1:10" s="4" customFormat="1" ht="28.5" x14ac:dyDescent="0.2">
      <c r="A13" s="91">
        <v>2.1</v>
      </c>
      <c r="B13" s="18" t="s">
        <v>253</v>
      </c>
      <c r="C13" s="15"/>
      <c r="D13" s="14" t="s">
        <v>254</v>
      </c>
      <c r="E13" s="57"/>
      <c r="F13" s="16">
        <f>E13*C13</f>
        <v>0</v>
      </c>
      <c r="G13" s="21"/>
      <c r="I13" s="57">
        <v>17300</v>
      </c>
    </row>
    <row r="14" spans="1:10" s="4" customFormat="1" ht="28.5" x14ac:dyDescent="0.2">
      <c r="A14" s="91">
        <v>2.2000000000000002</v>
      </c>
      <c r="B14" s="18" t="s">
        <v>255</v>
      </c>
      <c r="C14" s="15"/>
      <c r="D14" s="14" t="s">
        <v>254</v>
      </c>
      <c r="E14" s="57"/>
      <c r="F14" s="16">
        <f>E14*C14</f>
        <v>0</v>
      </c>
      <c r="G14" s="21"/>
      <c r="I14" s="57">
        <v>17300</v>
      </c>
    </row>
    <row r="15" spans="1:10" s="4" customFormat="1" ht="14.25" x14ac:dyDescent="0.2">
      <c r="A15" s="91">
        <v>2.2999999999999998</v>
      </c>
      <c r="B15" s="18" t="s">
        <v>256</v>
      </c>
      <c r="C15" s="15"/>
      <c r="D15" s="14" t="s">
        <v>254</v>
      </c>
      <c r="E15" s="57"/>
      <c r="F15" s="16">
        <f>E15*C15</f>
        <v>0</v>
      </c>
      <c r="G15" s="21"/>
      <c r="I15" s="57">
        <v>4700</v>
      </c>
    </row>
    <row r="16" spans="1:10" s="11" customFormat="1" ht="15" x14ac:dyDescent="0.25">
      <c r="A16" s="90">
        <v>3</v>
      </c>
      <c r="B16" s="78" t="s">
        <v>257</v>
      </c>
      <c r="C16" s="71"/>
      <c r="D16" s="72"/>
      <c r="E16" s="79"/>
      <c r="F16" s="74"/>
      <c r="G16" s="80">
        <f>SUM(F16:F23)</f>
        <v>0</v>
      </c>
      <c r="I16" s="79"/>
    </row>
    <row r="17" spans="1:9" s="4" customFormat="1" ht="14.25" x14ac:dyDescent="0.2">
      <c r="A17" s="91">
        <v>3.1</v>
      </c>
      <c r="B17" s="18" t="s">
        <v>258</v>
      </c>
      <c r="C17" s="15"/>
      <c r="D17" s="14" t="s">
        <v>254</v>
      </c>
      <c r="E17" s="57"/>
      <c r="F17" s="16">
        <f t="shared" ref="F17:F22" si="0">E17*C17</f>
        <v>0</v>
      </c>
      <c r="G17" s="21"/>
      <c r="I17" s="57">
        <v>30000</v>
      </c>
    </row>
    <row r="18" spans="1:9" s="4" customFormat="1" ht="14.25" x14ac:dyDescent="0.2">
      <c r="A18" s="91">
        <v>3.2</v>
      </c>
      <c r="B18" s="18" t="s">
        <v>259</v>
      </c>
      <c r="C18" s="15"/>
      <c r="D18" s="14" t="s">
        <v>254</v>
      </c>
      <c r="E18" s="57"/>
      <c r="F18" s="16">
        <f t="shared" si="0"/>
        <v>0</v>
      </c>
      <c r="G18" s="21"/>
      <c r="I18" s="57">
        <v>18000</v>
      </c>
    </row>
    <row r="19" spans="1:9" s="4" customFormat="1" ht="14.25" x14ac:dyDescent="0.2">
      <c r="A19" s="91">
        <v>3.3</v>
      </c>
      <c r="B19" s="18" t="s">
        <v>260</v>
      </c>
      <c r="C19" s="15"/>
      <c r="D19" s="14" t="s">
        <v>254</v>
      </c>
      <c r="E19" s="57"/>
      <c r="F19" s="16">
        <f t="shared" si="0"/>
        <v>0</v>
      </c>
      <c r="G19" s="21"/>
      <c r="I19" s="57">
        <v>62200</v>
      </c>
    </row>
    <row r="20" spans="1:9" s="4" customFormat="1" ht="14.25" x14ac:dyDescent="0.2">
      <c r="A20" s="91">
        <v>3.4</v>
      </c>
      <c r="B20" s="18" t="s">
        <v>261</v>
      </c>
      <c r="C20" s="15"/>
      <c r="D20" s="14" t="s">
        <v>254</v>
      </c>
      <c r="E20" s="57"/>
      <c r="F20" s="16">
        <f t="shared" si="0"/>
        <v>0</v>
      </c>
      <c r="G20" s="21"/>
      <c r="I20" s="57">
        <v>2500</v>
      </c>
    </row>
    <row r="21" spans="1:9" s="4" customFormat="1" ht="14.25" x14ac:dyDescent="0.2">
      <c r="A21" s="91">
        <v>3.5</v>
      </c>
      <c r="B21" s="18" t="s">
        <v>262</v>
      </c>
      <c r="C21" s="15"/>
      <c r="D21" s="14" t="s">
        <v>254</v>
      </c>
      <c r="E21" s="57"/>
      <c r="F21" s="16">
        <f t="shared" si="0"/>
        <v>0</v>
      </c>
      <c r="G21" s="21"/>
      <c r="I21" s="57">
        <v>600</v>
      </c>
    </row>
    <row r="22" spans="1:9" s="4" customFormat="1" ht="14.25" x14ac:dyDescent="0.2">
      <c r="A22" s="91">
        <v>3.6</v>
      </c>
      <c r="B22" s="18" t="s">
        <v>263</v>
      </c>
      <c r="C22" s="15"/>
      <c r="D22" s="14" t="s">
        <v>254</v>
      </c>
      <c r="E22" s="57"/>
      <c r="F22" s="16">
        <f t="shared" si="0"/>
        <v>0</v>
      </c>
      <c r="G22" s="21"/>
      <c r="I22" s="57">
        <v>1000</v>
      </c>
    </row>
    <row r="23" spans="1:9" s="11" customFormat="1" ht="15" x14ac:dyDescent="0.25">
      <c r="A23" s="90">
        <v>4</v>
      </c>
      <c r="B23" s="78" t="s">
        <v>264</v>
      </c>
      <c r="C23" s="71"/>
      <c r="D23" s="72"/>
      <c r="E23" s="79"/>
      <c r="F23" s="74"/>
      <c r="G23" s="80">
        <f>SUM(F23:F27)</f>
        <v>0</v>
      </c>
      <c r="I23" s="79"/>
    </row>
    <row r="24" spans="1:9" s="4" customFormat="1" ht="14.25" x14ac:dyDescent="0.2">
      <c r="A24" s="91">
        <v>4.0999999999999996</v>
      </c>
      <c r="B24" s="18" t="s">
        <v>265</v>
      </c>
      <c r="C24" s="15"/>
      <c r="D24" s="14" t="s">
        <v>254</v>
      </c>
      <c r="E24" s="57"/>
      <c r="F24" s="16">
        <f>E24*C24</f>
        <v>0</v>
      </c>
      <c r="G24" s="21"/>
      <c r="I24" s="57">
        <v>5000</v>
      </c>
    </row>
    <row r="25" spans="1:9" s="4" customFormat="1" ht="14.25" x14ac:dyDescent="0.2">
      <c r="A25" s="91">
        <v>4.2</v>
      </c>
      <c r="B25" s="18" t="s">
        <v>266</v>
      </c>
      <c r="C25" s="15"/>
      <c r="D25" s="14" t="s">
        <v>254</v>
      </c>
      <c r="E25" s="57"/>
      <c r="F25" s="16">
        <f>E25*C25</f>
        <v>0</v>
      </c>
      <c r="G25" s="21"/>
      <c r="I25" s="57">
        <v>700</v>
      </c>
    </row>
    <row r="26" spans="1:9" s="4" customFormat="1" ht="14.25" x14ac:dyDescent="0.2">
      <c r="A26" s="91">
        <v>4.3</v>
      </c>
      <c r="B26" s="18" t="s">
        <v>267</v>
      </c>
      <c r="C26" s="15"/>
      <c r="D26" s="14" t="s">
        <v>254</v>
      </c>
      <c r="E26" s="57"/>
      <c r="F26" s="16">
        <f>E26*C26</f>
        <v>0</v>
      </c>
      <c r="G26" s="21"/>
      <c r="I26" s="57">
        <v>700</v>
      </c>
    </row>
    <row r="27" spans="1:9" s="11" customFormat="1" ht="15" x14ac:dyDescent="0.25">
      <c r="A27" s="90">
        <v>5</v>
      </c>
      <c r="B27" s="78" t="s">
        <v>268</v>
      </c>
      <c r="C27" s="71"/>
      <c r="D27" s="72"/>
      <c r="E27" s="79"/>
      <c r="F27" s="74"/>
      <c r="G27" s="80">
        <f>SUM(F27:F30)</f>
        <v>0</v>
      </c>
      <c r="I27" s="79"/>
    </row>
    <row r="28" spans="1:9" s="4" customFormat="1" ht="14.25" x14ac:dyDescent="0.2">
      <c r="A28" s="91">
        <v>5.2</v>
      </c>
      <c r="B28" s="18" t="s">
        <v>269</v>
      </c>
      <c r="C28" s="15"/>
      <c r="D28" s="14" t="s">
        <v>14</v>
      </c>
      <c r="E28" s="57"/>
      <c r="F28" s="16">
        <f>E28*C28</f>
        <v>0</v>
      </c>
      <c r="G28" s="21"/>
      <c r="I28" s="57"/>
    </row>
    <row r="29" spans="1:9" s="4" customFormat="1" ht="14.25" x14ac:dyDescent="0.2">
      <c r="A29" s="91">
        <v>5.3</v>
      </c>
      <c r="B29" s="18" t="s">
        <v>270</v>
      </c>
      <c r="C29" s="15"/>
      <c r="D29" s="14" t="s">
        <v>14</v>
      </c>
      <c r="E29" s="57"/>
      <c r="F29" s="16">
        <f>E29*C29</f>
        <v>0</v>
      </c>
      <c r="G29" s="21"/>
      <c r="I29" s="57"/>
    </row>
    <row r="30" spans="1:9" s="11" customFormat="1" ht="15" x14ac:dyDescent="0.25">
      <c r="A30" s="90">
        <v>6</v>
      </c>
      <c r="B30" s="78" t="s">
        <v>271</v>
      </c>
      <c r="C30" s="71"/>
      <c r="D30" s="72"/>
      <c r="E30" s="79"/>
      <c r="F30" s="74"/>
      <c r="G30" s="80">
        <f>SUM(F31:F34)</f>
        <v>0</v>
      </c>
      <c r="I30" s="79"/>
    </row>
    <row r="31" spans="1:9" s="4" customFormat="1" ht="14.25" x14ac:dyDescent="0.2">
      <c r="A31" s="91">
        <v>6.1</v>
      </c>
      <c r="B31" s="18" t="s">
        <v>272</v>
      </c>
      <c r="C31" s="15"/>
      <c r="D31" s="14" t="s">
        <v>14</v>
      </c>
      <c r="E31" s="57"/>
      <c r="F31" s="16">
        <f>E31*C31</f>
        <v>0</v>
      </c>
      <c r="G31" s="21"/>
      <c r="I31" s="57"/>
    </row>
    <row r="32" spans="1:9" s="4" customFormat="1" ht="14.25" x14ac:dyDescent="0.2">
      <c r="A32" s="91">
        <v>6.2</v>
      </c>
      <c r="B32" s="18" t="s">
        <v>273</v>
      </c>
      <c r="C32" s="15"/>
      <c r="D32" s="14" t="s">
        <v>254</v>
      </c>
      <c r="E32" s="57"/>
      <c r="F32" s="16">
        <f>E32*C32</f>
        <v>0</v>
      </c>
      <c r="G32" s="21"/>
      <c r="I32" s="57">
        <v>200</v>
      </c>
    </row>
    <row r="33" spans="1:9" s="4" customFormat="1" ht="14.25" x14ac:dyDescent="0.2">
      <c r="A33" s="91">
        <v>6.3</v>
      </c>
      <c r="B33" s="18" t="s">
        <v>274</v>
      </c>
      <c r="C33" s="15"/>
      <c r="D33" s="14" t="s">
        <v>14</v>
      </c>
      <c r="E33" s="57"/>
      <c r="F33" s="16">
        <f>E33*C33</f>
        <v>0</v>
      </c>
      <c r="G33" s="21"/>
      <c r="I33" s="57"/>
    </row>
    <row r="34" spans="1:9" s="4" customFormat="1" ht="14.25" x14ac:dyDescent="0.2">
      <c r="A34" s="91">
        <v>6.4</v>
      </c>
      <c r="B34" s="18" t="s">
        <v>275</v>
      </c>
      <c r="C34" s="15"/>
      <c r="D34" s="14" t="s">
        <v>14</v>
      </c>
      <c r="E34" s="57"/>
      <c r="F34" s="16">
        <f>E34*C34</f>
        <v>0</v>
      </c>
      <c r="G34" s="21"/>
      <c r="I34" s="57"/>
    </row>
    <row r="35" spans="1:9" s="11" customFormat="1" ht="15" x14ac:dyDescent="0.25">
      <c r="A35" s="90">
        <v>7</v>
      </c>
      <c r="B35" s="78" t="s">
        <v>106</v>
      </c>
      <c r="C35" s="71"/>
      <c r="D35" s="72"/>
      <c r="E35" s="79"/>
      <c r="F35" s="74"/>
      <c r="G35" s="80">
        <f>SUM(F35:F37)</f>
        <v>0</v>
      </c>
      <c r="I35" s="79"/>
    </row>
    <row r="36" spans="1:9" s="4" customFormat="1" ht="14.25" x14ac:dyDescent="0.2">
      <c r="A36" s="91">
        <v>7.1</v>
      </c>
      <c r="B36" s="18"/>
      <c r="C36" s="15"/>
      <c r="D36" s="14"/>
      <c r="E36" s="57"/>
      <c r="F36" s="16">
        <f t="shared" ref="F36" si="1">E36*C36</f>
        <v>0</v>
      </c>
      <c r="G36" s="21"/>
      <c r="I36" s="57"/>
    </row>
    <row r="37" spans="1:9" s="4" customFormat="1" ht="15" x14ac:dyDescent="0.2">
      <c r="A37" s="89"/>
      <c r="B37" s="23"/>
      <c r="C37" s="24"/>
      <c r="D37" s="37"/>
      <c r="E37" s="58"/>
      <c r="F37" s="25"/>
      <c r="G37" s="26"/>
      <c r="I37" s="58"/>
    </row>
    <row r="38" spans="1:9" s="4" customFormat="1" ht="15" x14ac:dyDescent="0.25">
      <c r="A38" s="92"/>
      <c r="B38" s="84" t="s">
        <v>276</v>
      </c>
      <c r="C38" s="75"/>
      <c r="D38" s="76"/>
      <c r="E38" s="83"/>
      <c r="F38" s="76">
        <f>SUM(F9:F37)</f>
        <v>0</v>
      </c>
      <c r="G38" s="77">
        <f>G9</f>
        <v>0</v>
      </c>
      <c r="I38" s="83"/>
    </row>
    <row r="39" spans="1:9" s="4" customFormat="1" ht="15" x14ac:dyDescent="0.2">
      <c r="A39" s="89"/>
      <c r="B39" s="23"/>
      <c r="C39" s="24"/>
      <c r="D39" s="37"/>
      <c r="E39" s="58"/>
      <c r="F39" s="25"/>
      <c r="G39" s="26"/>
      <c r="I39" s="58"/>
    </row>
    <row r="40" spans="1:9" s="4" customFormat="1" ht="15" x14ac:dyDescent="0.25">
      <c r="A40" s="87" t="s">
        <v>157</v>
      </c>
      <c r="B40" s="81" t="s">
        <v>124</v>
      </c>
      <c r="C40" s="66"/>
      <c r="D40" s="67"/>
      <c r="E40" s="82"/>
      <c r="F40" s="68"/>
      <c r="G40" s="69"/>
      <c r="I40" s="82"/>
    </row>
    <row r="41" spans="1:9" s="4" customFormat="1" ht="15" x14ac:dyDescent="0.2">
      <c r="A41" s="91"/>
      <c r="B41" s="17" t="s">
        <v>277</v>
      </c>
      <c r="C41" s="15"/>
      <c r="D41" s="14"/>
      <c r="E41" s="57"/>
      <c r="F41" s="20">
        <v>0</v>
      </c>
      <c r="G41" s="22">
        <f>G38*F41</f>
        <v>0</v>
      </c>
      <c r="I41" s="57"/>
    </row>
    <row r="42" spans="1:9" s="4" customFormat="1" ht="15" x14ac:dyDescent="0.2">
      <c r="A42" s="91"/>
      <c r="B42" s="17" t="s">
        <v>278</v>
      </c>
      <c r="C42" s="15"/>
      <c r="D42" s="14"/>
      <c r="E42" s="57"/>
      <c r="F42" s="20">
        <v>0.4</v>
      </c>
      <c r="G42" s="22">
        <f>F42*G38</f>
        <v>0</v>
      </c>
      <c r="I42" s="57"/>
    </row>
    <row r="43" spans="1:9" s="4" customFormat="1" ht="15" x14ac:dyDescent="0.2">
      <c r="A43" s="89"/>
      <c r="B43" s="23"/>
      <c r="C43" s="24"/>
      <c r="D43" s="37"/>
      <c r="E43" s="58"/>
      <c r="F43" s="25"/>
      <c r="G43" s="26"/>
      <c r="I43" s="58"/>
    </row>
    <row r="44" spans="1:9" s="4" customFormat="1" ht="15" x14ac:dyDescent="0.25">
      <c r="A44" s="93"/>
      <c r="B44" s="32" t="s">
        <v>279</v>
      </c>
      <c r="C44" s="33"/>
      <c r="D44" s="34"/>
      <c r="E44" s="59"/>
      <c r="F44" s="35"/>
      <c r="G44" s="36"/>
      <c r="I44" s="59"/>
    </row>
    <row r="45" spans="1:9" s="4" customFormat="1" ht="15" x14ac:dyDescent="0.2">
      <c r="A45" s="91"/>
      <c r="B45" s="17" t="s">
        <v>236</v>
      </c>
      <c r="C45" s="15"/>
      <c r="D45" s="14"/>
      <c r="E45" s="57"/>
      <c r="F45" s="27"/>
      <c r="G45" s="22">
        <f>G38+G41</f>
        <v>0</v>
      </c>
      <c r="I45" s="57"/>
    </row>
    <row r="46" spans="1:9" s="4" customFormat="1" ht="15" x14ac:dyDescent="0.2">
      <c r="A46" s="91"/>
      <c r="B46" s="17" t="s">
        <v>237</v>
      </c>
      <c r="C46" s="15"/>
      <c r="D46" s="14"/>
      <c r="E46" s="57"/>
      <c r="F46" s="27"/>
      <c r="G46" s="22">
        <f>G42+G38</f>
        <v>0</v>
      </c>
      <c r="I46" s="57"/>
    </row>
    <row r="47" spans="1:9" s="4" customFormat="1" ht="15" x14ac:dyDescent="0.2">
      <c r="A47" s="89"/>
      <c r="B47" s="23"/>
      <c r="C47" s="24"/>
      <c r="D47" s="37"/>
      <c r="E47" s="58"/>
      <c r="F47" s="25"/>
      <c r="G47" s="26"/>
      <c r="I47" s="58"/>
    </row>
    <row r="48" spans="1:9" s="4" customFormat="1" ht="30" x14ac:dyDescent="0.25">
      <c r="A48" s="93"/>
      <c r="B48" s="28" t="s">
        <v>280</v>
      </c>
      <c r="C48" s="29"/>
      <c r="D48" s="35"/>
      <c r="E48" s="59"/>
      <c r="F48" s="30"/>
      <c r="G48" s="31">
        <f>(G46-G45)*0.75+G38</f>
        <v>0</v>
      </c>
      <c r="I48" s="59"/>
    </row>
    <row r="50" spans="1:9" s="41" customFormat="1" x14ac:dyDescent="0.2">
      <c r="A50" s="192"/>
      <c r="B50" s="192"/>
      <c r="C50" s="192"/>
      <c r="D50" s="192"/>
      <c r="E50" s="192"/>
      <c r="G50" s="39"/>
    </row>
    <row r="51" spans="1:9" s="41" customFormat="1" x14ac:dyDescent="0.2">
      <c r="A51" s="95"/>
      <c r="B51" s="42"/>
      <c r="C51" s="40"/>
      <c r="D51" s="39"/>
      <c r="E51" s="39"/>
      <c r="G51" s="39"/>
      <c r="I51" s="39"/>
    </row>
    <row r="52" spans="1:9" s="45" customFormat="1" ht="11.25" x14ac:dyDescent="0.2">
      <c r="A52" s="96"/>
      <c r="B52" s="43"/>
      <c r="C52" s="44"/>
      <c r="D52" s="43"/>
      <c r="E52" s="43"/>
      <c r="I52" s="43"/>
    </row>
    <row r="53" spans="1:9" s="45" customFormat="1" ht="11.25" x14ac:dyDescent="0.2">
      <c r="A53" s="97"/>
      <c r="B53" s="46"/>
      <c r="D53" s="47"/>
      <c r="E53" s="48"/>
      <c r="I53" s="48"/>
    </row>
    <row r="54" spans="1:9" s="45" customFormat="1" ht="11.25" x14ac:dyDescent="0.2">
      <c r="A54" s="97"/>
      <c r="B54" s="46"/>
      <c r="D54" s="47"/>
      <c r="E54" s="48"/>
      <c r="I54" s="48"/>
    </row>
    <row r="55" spans="1:9" s="45" customFormat="1" ht="11.25" x14ac:dyDescent="0.2">
      <c r="A55" s="97"/>
      <c r="B55" s="46"/>
      <c r="D55" s="47"/>
      <c r="E55" s="48"/>
      <c r="I55" s="48"/>
    </row>
    <row r="56" spans="1:9" s="45" customFormat="1" ht="11.25" x14ac:dyDescent="0.2">
      <c r="A56" s="97"/>
      <c r="B56" s="46"/>
      <c r="D56" s="47"/>
      <c r="E56" s="48"/>
      <c r="I56" s="48"/>
    </row>
    <row r="57" spans="1:9" s="45" customFormat="1" ht="11.25" x14ac:dyDescent="0.2">
      <c r="A57" s="97"/>
      <c r="B57" s="46"/>
      <c r="D57" s="47"/>
      <c r="E57" s="48"/>
      <c r="I57" s="48"/>
    </row>
    <row r="58" spans="1:9" s="45" customFormat="1" ht="11.25" x14ac:dyDescent="0.2">
      <c r="A58" s="97"/>
      <c r="B58" s="46"/>
      <c r="D58" s="47"/>
      <c r="E58" s="48"/>
      <c r="I58" s="48"/>
    </row>
    <row r="59" spans="1:9" s="45" customFormat="1" ht="11.25" x14ac:dyDescent="0.2">
      <c r="A59" s="97"/>
      <c r="B59" s="46"/>
      <c r="D59" s="47"/>
      <c r="E59" s="48"/>
      <c r="I59" s="48"/>
    </row>
    <row r="60" spans="1:9" s="45" customFormat="1" ht="11.25" x14ac:dyDescent="0.2">
      <c r="A60" s="97"/>
      <c r="B60" s="46"/>
      <c r="D60" s="47"/>
      <c r="E60" s="48"/>
      <c r="I60" s="48"/>
    </row>
    <row r="61" spans="1:9" s="45" customFormat="1" ht="11.25" x14ac:dyDescent="0.2">
      <c r="A61" s="97"/>
      <c r="B61" s="46"/>
      <c r="D61" s="47"/>
      <c r="E61" s="48"/>
      <c r="I61" s="48"/>
    </row>
    <row r="62" spans="1:9" s="45" customFormat="1" ht="11.25" x14ac:dyDescent="0.2">
      <c r="A62" s="97"/>
      <c r="B62" s="46"/>
      <c r="D62" s="47"/>
      <c r="E62" s="48"/>
      <c r="I62" s="48"/>
    </row>
    <row r="63" spans="1:9" s="45" customFormat="1" ht="11.25" x14ac:dyDescent="0.2">
      <c r="A63" s="97"/>
      <c r="B63" s="46"/>
      <c r="D63" s="47"/>
      <c r="E63" s="48"/>
      <c r="I63" s="48"/>
    </row>
    <row r="64" spans="1:9" s="45" customFormat="1" ht="11.25" x14ac:dyDescent="0.2">
      <c r="A64" s="97"/>
      <c r="B64" s="46"/>
      <c r="D64" s="47"/>
      <c r="E64" s="48"/>
      <c r="I64" s="48"/>
    </row>
    <row r="65" spans="1:9" s="45" customFormat="1" ht="11.25" x14ac:dyDescent="0.2">
      <c r="A65" s="97"/>
      <c r="B65" s="46"/>
      <c r="D65" s="47"/>
      <c r="E65" s="48"/>
      <c r="I65" s="48"/>
    </row>
    <row r="66" spans="1:9" s="45" customFormat="1" ht="11.25" x14ac:dyDescent="0.2">
      <c r="A66" s="97"/>
      <c r="B66" s="46"/>
      <c r="D66" s="47"/>
      <c r="E66" s="48"/>
      <c r="I66" s="48"/>
    </row>
    <row r="67" spans="1:9" s="45" customFormat="1" ht="11.25" x14ac:dyDescent="0.2">
      <c r="A67" s="97"/>
      <c r="B67" s="46"/>
      <c r="D67" s="47"/>
      <c r="E67" s="48"/>
      <c r="I67" s="48"/>
    </row>
    <row r="68" spans="1:9" s="45" customFormat="1" ht="11.25" x14ac:dyDescent="0.2">
      <c r="A68" s="97"/>
      <c r="B68" s="46"/>
      <c r="D68" s="47"/>
      <c r="E68" s="48"/>
      <c r="I68" s="48"/>
    </row>
    <row r="69" spans="1:9" s="45" customFormat="1" ht="11.25" x14ac:dyDescent="0.2">
      <c r="A69" s="97"/>
      <c r="B69" s="46"/>
      <c r="D69" s="47"/>
      <c r="E69" s="48"/>
      <c r="I69" s="48"/>
    </row>
    <row r="70" spans="1:9" s="45" customFormat="1" ht="11.25" x14ac:dyDescent="0.2">
      <c r="A70" s="97"/>
      <c r="B70" s="46"/>
      <c r="D70" s="47"/>
      <c r="E70" s="48"/>
      <c r="I70" s="48"/>
    </row>
    <row r="71" spans="1:9" s="45" customFormat="1" ht="11.25" x14ac:dyDescent="0.2">
      <c r="A71" s="97"/>
      <c r="B71" s="46"/>
      <c r="D71" s="47"/>
      <c r="E71" s="48"/>
      <c r="I71" s="48"/>
    </row>
    <row r="72" spans="1:9" s="45" customFormat="1" ht="11.25" x14ac:dyDescent="0.2">
      <c r="A72" s="97"/>
      <c r="B72" s="46"/>
      <c r="D72" s="47"/>
      <c r="E72" s="48"/>
      <c r="I72" s="48"/>
    </row>
    <row r="73" spans="1:9" s="45" customFormat="1" ht="11.25" x14ac:dyDescent="0.2">
      <c r="A73" s="97"/>
      <c r="B73" s="46"/>
      <c r="D73" s="47"/>
      <c r="E73" s="48"/>
      <c r="I73" s="48"/>
    </row>
    <row r="74" spans="1:9" s="45" customFormat="1" ht="11.25" x14ac:dyDescent="0.2">
      <c r="A74" s="97"/>
      <c r="B74" s="46"/>
      <c r="D74" s="47"/>
      <c r="E74" s="48"/>
      <c r="I74" s="48"/>
    </row>
    <row r="75" spans="1:9" s="45" customFormat="1" ht="11.25" x14ac:dyDescent="0.2">
      <c r="A75" s="97"/>
      <c r="B75" s="46"/>
      <c r="D75" s="47"/>
      <c r="E75" s="48"/>
      <c r="I75" s="48"/>
    </row>
    <row r="76" spans="1:9" s="45" customFormat="1" ht="11.25" x14ac:dyDescent="0.2">
      <c r="A76" s="97"/>
      <c r="B76" s="46"/>
      <c r="D76" s="47"/>
      <c r="E76" s="48"/>
      <c r="I76" s="48"/>
    </row>
    <row r="77" spans="1:9" s="45" customFormat="1" ht="11.25" x14ac:dyDescent="0.2">
      <c r="A77" s="97"/>
      <c r="B77" s="46"/>
      <c r="D77" s="47"/>
      <c r="E77" s="48"/>
      <c r="I77" s="48"/>
    </row>
    <row r="78" spans="1:9" s="45" customFormat="1" ht="11.25" x14ac:dyDescent="0.2">
      <c r="A78" s="97"/>
      <c r="B78" s="46"/>
      <c r="D78" s="47"/>
      <c r="E78" s="48"/>
      <c r="I78" s="48"/>
    </row>
    <row r="79" spans="1:9" s="45" customFormat="1" ht="11.25" x14ac:dyDescent="0.2">
      <c r="A79" s="97"/>
      <c r="B79" s="46"/>
      <c r="D79" s="47"/>
      <c r="E79" s="48"/>
      <c r="I79" s="48"/>
    </row>
    <row r="80" spans="1:9" s="45" customFormat="1" ht="11.25" x14ac:dyDescent="0.2">
      <c r="A80" s="97"/>
      <c r="B80" s="46"/>
      <c r="D80" s="47"/>
      <c r="E80" s="48"/>
      <c r="I80" s="48"/>
    </row>
    <row r="81" spans="1:9" s="45" customFormat="1" ht="11.25" x14ac:dyDescent="0.2">
      <c r="A81" s="97"/>
      <c r="B81" s="46"/>
      <c r="D81" s="47"/>
      <c r="E81" s="48"/>
      <c r="I81" s="48"/>
    </row>
    <row r="82" spans="1:9" s="45" customFormat="1" ht="11.25" x14ac:dyDescent="0.2">
      <c r="A82" s="97"/>
      <c r="B82" s="46"/>
      <c r="D82" s="47"/>
      <c r="E82" s="48"/>
      <c r="I82" s="48"/>
    </row>
    <row r="83" spans="1:9" s="45" customFormat="1" ht="11.25" x14ac:dyDescent="0.2">
      <c r="A83" s="97"/>
      <c r="B83" s="46"/>
      <c r="D83" s="47"/>
      <c r="E83" s="48"/>
      <c r="I83" s="48"/>
    </row>
    <row r="84" spans="1:9" s="45" customFormat="1" ht="11.25" x14ac:dyDescent="0.2">
      <c r="A84" s="97"/>
      <c r="B84" s="46"/>
      <c r="D84" s="47"/>
      <c r="E84" s="48"/>
      <c r="I84" s="48"/>
    </row>
    <row r="85" spans="1:9" s="45" customFormat="1" ht="11.25" x14ac:dyDescent="0.2">
      <c r="A85" s="97"/>
      <c r="B85" s="46"/>
      <c r="D85" s="47"/>
      <c r="E85" s="48"/>
      <c r="I85" s="48"/>
    </row>
    <row r="86" spans="1:9" s="45" customFormat="1" ht="11.25" x14ac:dyDescent="0.2">
      <c r="A86" s="97"/>
      <c r="B86" s="46"/>
      <c r="D86" s="47"/>
      <c r="E86" s="48"/>
      <c r="I86" s="48"/>
    </row>
    <row r="87" spans="1:9" s="45" customFormat="1" ht="11.25" x14ac:dyDescent="0.2">
      <c r="A87" s="97"/>
      <c r="B87" s="46"/>
      <c r="D87" s="47"/>
      <c r="E87" s="48"/>
      <c r="I87" s="48"/>
    </row>
    <row r="88" spans="1:9" s="45" customFormat="1" ht="11.25" x14ac:dyDescent="0.2">
      <c r="A88" s="97"/>
      <c r="B88" s="46"/>
      <c r="D88" s="47"/>
      <c r="E88" s="48"/>
      <c r="I88" s="48"/>
    </row>
    <row r="89" spans="1:9" s="45" customFormat="1" ht="11.25" x14ac:dyDescent="0.2">
      <c r="A89" s="97"/>
      <c r="B89" s="46"/>
      <c r="D89" s="47"/>
      <c r="E89" s="48"/>
      <c r="I89" s="48"/>
    </row>
    <row r="90" spans="1:9" s="45" customFormat="1" ht="11.25" x14ac:dyDescent="0.2">
      <c r="A90" s="97"/>
      <c r="B90" s="46"/>
      <c r="D90" s="47"/>
      <c r="E90" s="48"/>
      <c r="I90" s="48"/>
    </row>
    <row r="91" spans="1:9" s="45" customFormat="1" ht="11.25" x14ac:dyDescent="0.2">
      <c r="A91" s="97"/>
      <c r="B91" s="46"/>
      <c r="D91" s="47"/>
      <c r="E91" s="48"/>
      <c r="I91" s="48"/>
    </row>
    <row r="92" spans="1:9" s="45" customFormat="1" ht="11.25" x14ac:dyDescent="0.2">
      <c r="A92" s="97"/>
      <c r="B92" s="46"/>
      <c r="D92" s="47"/>
      <c r="E92" s="48"/>
      <c r="I92" s="48"/>
    </row>
    <row r="93" spans="1:9" s="45" customFormat="1" ht="11.25" x14ac:dyDescent="0.2">
      <c r="A93" s="97"/>
      <c r="B93" s="46"/>
      <c r="D93" s="47"/>
      <c r="E93" s="48"/>
      <c r="I93" s="48"/>
    </row>
    <row r="94" spans="1:9" s="45" customFormat="1" ht="11.25" x14ac:dyDescent="0.2">
      <c r="A94" s="97"/>
      <c r="B94" s="46"/>
      <c r="D94" s="47"/>
      <c r="E94" s="48"/>
      <c r="I94" s="48"/>
    </row>
    <row r="95" spans="1:9" s="45" customFormat="1" ht="11.25" x14ac:dyDescent="0.2">
      <c r="A95" s="97"/>
      <c r="B95" s="46"/>
      <c r="D95" s="47"/>
      <c r="E95" s="48"/>
      <c r="I95" s="48"/>
    </row>
    <row r="96" spans="1:9" s="45" customFormat="1" ht="11.25" x14ac:dyDescent="0.2">
      <c r="A96" s="97"/>
      <c r="B96" s="46"/>
      <c r="D96" s="47"/>
      <c r="E96" s="48"/>
      <c r="I96" s="48"/>
    </row>
    <row r="97" spans="1:9" s="45" customFormat="1" ht="11.25" x14ac:dyDescent="0.2">
      <c r="A97" s="97"/>
      <c r="B97" s="46"/>
      <c r="D97" s="47"/>
      <c r="E97" s="48"/>
      <c r="I97" s="48"/>
    </row>
    <row r="98" spans="1:9" s="45" customFormat="1" ht="11.25" x14ac:dyDescent="0.2">
      <c r="A98" s="97"/>
      <c r="B98" s="46"/>
      <c r="D98" s="47"/>
      <c r="E98" s="48"/>
      <c r="I98" s="48"/>
    </row>
    <row r="99" spans="1:9" s="45" customFormat="1" ht="11.25" x14ac:dyDescent="0.2">
      <c r="A99" s="97"/>
      <c r="B99" s="46"/>
      <c r="D99" s="47"/>
      <c r="E99" s="48"/>
      <c r="I99" s="48"/>
    </row>
    <row r="100" spans="1:9" s="45" customFormat="1" ht="11.25" x14ac:dyDescent="0.2">
      <c r="A100" s="97"/>
      <c r="B100" s="46"/>
      <c r="D100" s="47"/>
      <c r="E100" s="48"/>
      <c r="I100" s="48"/>
    </row>
    <row r="101" spans="1:9" s="45" customFormat="1" ht="11.25" x14ac:dyDescent="0.2">
      <c r="A101" s="97"/>
      <c r="B101" s="46"/>
      <c r="D101" s="47"/>
      <c r="E101" s="48"/>
      <c r="I101" s="48"/>
    </row>
    <row r="102" spans="1:9" s="45" customFormat="1" ht="11.25" x14ac:dyDescent="0.2">
      <c r="A102" s="97"/>
      <c r="B102" s="46"/>
      <c r="D102" s="47"/>
      <c r="E102" s="48"/>
      <c r="I102" s="48"/>
    </row>
    <row r="103" spans="1:9" s="45" customFormat="1" ht="11.25" x14ac:dyDescent="0.2">
      <c r="A103" s="97"/>
      <c r="B103" s="46"/>
      <c r="D103" s="47"/>
      <c r="E103" s="48"/>
      <c r="I103" s="48"/>
    </row>
    <row r="104" spans="1:9" s="45" customFormat="1" ht="11.25" x14ac:dyDescent="0.2">
      <c r="A104" s="97"/>
      <c r="B104" s="46"/>
      <c r="D104" s="47"/>
      <c r="E104" s="48"/>
      <c r="I104" s="48"/>
    </row>
    <row r="105" spans="1:9" s="45" customFormat="1" ht="11.25" x14ac:dyDescent="0.2">
      <c r="A105" s="97"/>
      <c r="B105" s="46"/>
      <c r="D105" s="47"/>
      <c r="E105" s="48"/>
      <c r="I105" s="48"/>
    </row>
    <row r="106" spans="1:9" s="45" customFormat="1" ht="11.25" x14ac:dyDescent="0.2">
      <c r="A106" s="97"/>
      <c r="B106" s="46"/>
      <c r="D106" s="47"/>
      <c r="E106" s="48"/>
      <c r="I106" s="48"/>
    </row>
    <row r="107" spans="1:9" s="45" customFormat="1" ht="11.25" x14ac:dyDescent="0.2">
      <c r="A107" s="97"/>
      <c r="B107" s="46"/>
      <c r="D107" s="47"/>
      <c r="E107" s="48"/>
      <c r="I107" s="48"/>
    </row>
    <row r="108" spans="1:9" s="45" customFormat="1" ht="11.25" x14ac:dyDescent="0.2">
      <c r="A108" s="97"/>
      <c r="B108" s="46"/>
      <c r="D108" s="47"/>
      <c r="E108" s="48"/>
      <c r="I108" s="48"/>
    </row>
    <row r="109" spans="1:9" s="45" customFormat="1" ht="11.25" x14ac:dyDescent="0.2">
      <c r="A109" s="97"/>
      <c r="B109" s="46"/>
      <c r="D109" s="47"/>
      <c r="E109" s="48"/>
      <c r="I109" s="48"/>
    </row>
    <row r="110" spans="1:9" s="45" customFormat="1" ht="11.25" x14ac:dyDescent="0.2">
      <c r="A110" s="97"/>
      <c r="B110" s="46"/>
      <c r="D110" s="47"/>
      <c r="E110" s="48"/>
      <c r="I110" s="48"/>
    </row>
    <row r="111" spans="1:9" s="45" customFormat="1" ht="11.25" x14ac:dyDescent="0.2">
      <c r="A111" s="97"/>
      <c r="B111" s="46"/>
      <c r="D111" s="47"/>
      <c r="E111" s="48"/>
      <c r="I111" s="48"/>
    </row>
    <row r="112" spans="1:9" s="45" customFormat="1" ht="11.25" x14ac:dyDescent="0.2">
      <c r="A112" s="97"/>
      <c r="B112" s="46"/>
      <c r="D112" s="47"/>
      <c r="E112" s="48"/>
      <c r="I112" s="48"/>
    </row>
    <row r="113" spans="1:9" s="45" customFormat="1" ht="11.25" x14ac:dyDescent="0.2">
      <c r="A113" s="97"/>
      <c r="B113" s="46"/>
      <c r="D113" s="47"/>
      <c r="E113" s="48"/>
      <c r="I113" s="48"/>
    </row>
    <row r="114" spans="1:9" s="45" customFormat="1" ht="11.25" x14ac:dyDescent="0.2">
      <c r="A114" s="97"/>
      <c r="B114" s="46"/>
      <c r="D114" s="47"/>
      <c r="E114" s="48"/>
      <c r="I114" s="48"/>
    </row>
    <row r="115" spans="1:9" s="45" customFormat="1" ht="11.25" x14ac:dyDescent="0.2">
      <c r="A115" s="97"/>
      <c r="B115" s="46"/>
      <c r="D115" s="47"/>
      <c r="E115" s="48"/>
      <c r="I115" s="48"/>
    </row>
    <row r="116" spans="1:9" s="45" customFormat="1" ht="11.25" x14ac:dyDescent="0.2">
      <c r="A116" s="97"/>
      <c r="B116" s="46"/>
      <c r="D116" s="47"/>
      <c r="E116" s="48"/>
      <c r="I116" s="48"/>
    </row>
    <row r="117" spans="1:9" s="45" customFormat="1" ht="11.25" x14ac:dyDescent="0.2">
      <c r="A117" s="97"/>
      <c r="B117" s="46"/>
      <c r="D117" s="47"/>
      <c r="E117" s="48"/>
      <c r="I117" s="48"/>
    </row>
    <row r="118" spans="1:9" s="45" customFormat="1" ht="11.25" x14ac:dyDescent="0.2">
      <c r="A118" s="97"/>
      <c r="B118" s="46"/>
      <c r="D118" s="47"/>
      <c r="E118" s="48"/>
      <c r="I118" s="48"/>
    </row>
    <row r="119" spans="1:9" s="45" customFormat="1" ht="11.25" x14ac:dyDescent="0.2">
      <c r="A119" s="97"/>
      <c r="B119" s="46"/>
      <c r="D119" s="47"/>
      <c r="E119" s="48"/>
      <c r="I119" s="48"/>
    </row>
    <row r="120" spans="1:9" s="45" customFormat="1" ht="11.25" x14ac:dyDescent="0.2">
      <c r="A120" s="97"/>
      <c r="B120" s="46"/>
      <c r="C120" s="49"/>
      <c r="D120" s="47"/>
      <c r="E120" s="48"/>
      <c r="F120" s="50"/>
      <c r="I120" s="48"/>
    </row>
    <row r="121" spans="1:9" s="45" customFormat="1" ht="11.25" x14ac:dyDescent="0.2">
      <c r="A121" s="97"/>
      <c r="B121" s="46"/>
      <c r="C121" s="49"/>
      <c r="D121" s="47"/>
      <c r="E121" s="48"/>
      <c r="F121" s="50"/>
      <c r="I121" s="48"/>
    </row>
    <row r="122" spans="1:9" s="45" customFormat="1" ht="11.25" x14ac:dyDescent="0.2">
      <c r="A122" s="97"/>
      <c r="B122" s="46"/>
      <c r="C122" s="49"/>
      <c r="D122" s="47"/>
      <c r="E122" s="48"/>
      <c r="F122" s="50"/>
      <c r="I122" s="48"/>
    </row>
    <row r="123" spans="1:9" s="45" customFormat="1" ht="11.25" x14ac:dyDescent="0.2">
      <c r="A123" s="97"/>
      <c r="B123" s="46"/>
      <c r="C123" s="49"/>
      <c r="D123" s="47"/>
      <c r="E123" s="48"/>
      <c r="F123" s="50"/>
      <c r="I123" s="48"/>
    </row>
    <row r="124" spans="1:9" s="45" customFormat="1" ht="11.25" x14ac:dyDescent="0.2">
      <c r="A124" s="97"/>
      <c r="B124" s="46"/>
      <c r="C124" s="49"/>
      <c r="D124" s="47"/>
      <c r="E124" s="48"/>
      <c r="F124" s="50"/>
      <c r="I124" s="48"/>
    </row>
    <row r="125" spans="1:9" s="45" customFormat="1" ht="11.25" x14ac:dyDescent="0.2">
      <c r="A125" s="97"/>
      <c r="B125" s="46"/>
      <c r="C125" s="49"/>
      <c r="D125" s="47"/>
      <c r="E125" s="48"/>
      <c r="F125" s="50"/>
      <c r="I125" s="48"/>
    </row>
    <row r="126" spans="1:9" s="45" customFormat="1" ht="11.25" x14ac:dyDescent="0.2">
      <c r="A126" s="97"/>
      <c r="B126" s="46"/>
      <c r="C126" s="49"/>
      <c r="D126" s="47"/>
      <c r="E126" s="48"/>
      <c r="F126" s="50"/>
      <c r="I126" s="48"/>
    </row>
    <row r="127" spans="1:9" s="45" customFormat="1" ht="11.25" x14ac:dyDescent="0.2">
      <c r="A127" s="97"/>
      <c r="B127" s="46"/>
      <c r="C127" s="49"/>
      <c r="D127" s="47"/>
      <c r="E127" s="48"/>
      <c r="F127" s="50"/>
      <c r="I127" s="48"/>
    </row>
    <row r="128" spans="1:9" s="45" customFormat="1" ht="11.25" x14ac:dyDescent="0.2">
      <c r="A128" s="97"/>
      <c r="B128" s="46"/>
      <c r="C128" s="49"/>
      <c r="D128" s="47"/>
      <c r="E128" s="48"/>
      <c r="F128" s="50"/>
      <c r="I128" s="48"/>
    </row>
    <row r="129" spans="1:9" s="45" customFormat="1" ht="11.25" x14ac:dyDescent="0.2">
      <c r="A129" s="97"/>
      <c r="B129" s="46"/>
      <c r="C129" s="49"/>
      <c r="D129" s="47"/>
      <c r="E129" s="48"/>
      <c r="F129" s="50"/>
      <c r="I129" s="48"/>
    </row>
    <row r="130" spans="1:9" s="45" customFormat="1" ht="11.25" x14ac:dyDescent="0.2">
      <c r="A130" s="97"/>
      <c r="B130" s="46"/>
      <c r="C130" s="49"/>
      <c r="D130" s="47"/>
      <c r="E130" s="48"/>
      <c r="F130" s="50"/>
      <c r="I130" s="48"/>
    </row>
    <row r="131" spans="1:9" s="45" customFormat="1" ht="11.25" x14ac:dyDescent="0.2">
      <c r="A131" s="97"/>
      <c r="B131" s="46"/>
      <c r="C131" s="49"/>
      <c r="D131" s="47"/>
      <c r="E131" s="48"/>
      <c r="F131" s="50"/>
      <c r="I131" s="48"/>
    </row>
    <row r="132" spans="1:9" s="45" customFormat="1" ht="11.25" x14ac:dyDescent="0.2">
      <c r="A132" s="97"/>
      <c r="B132" s="46"/>
      <c r="C132" s="49"/>
      <c r="D132" s="47"/>
      <c r="E132" s="48"/>
      <c r="F132" s="50"/>
      <c r="I132" s="48"/>
    </row>
    <row r="133" spans="1:9" s="45" customFormat="1" ht="11.25" x14ac:dyDescent="0.2">
      <c r="A133" s="97"/>
      <c r="B133" s="46"/>
      <c r="C133" s="49"/>
      <c r="D133" s="47"/>
      <c r="E133" s="48"/>
      <c r="F133" s="50"/>
      <c r="I133" s="48"/>
    </row>
    <row r="134" spans="1:9" s="45" customFormat="1" ht="11.25" x14ac:dyDescent="0.2">
      <c r="A134" s="97"/>
      <c r="B134" s="46"/>
      <c r="C134" s="49"/>
      <c r="D134" s="47"/>
      <c r="E134" s="48"/>
      <c r="F134" s="50"/>
      <c r="I134" s="48"/>
    </row>
    <row r="135" spans="1:9" s="45" customFormat="1" ht="11.25" x14ac:dyDescent="0.2">
      <c r="A135" s="97"/>
      <c r="B135" s="46"/>
      <c r="C135" s="49"/>
      <c r="D135" s="47"/>
      <c r="E135" s="48"/>
      <c r="F135" s="50"/>
      <c r="I135" s="48"/>
    </row>
    <row r="136" spans="1:9" s="45" customFormat="1" ht="11.25" x14ac:dyDescent="0.2">
      <c r="A136" s="98"/>
      <c r="B136" s="46"/>
      <c r="C136" s="49"/>
      <c r="D136" s="47"/>
      <c r="E136" s="48"/>
      <c r="F136" s="50"/>
      <c r="I136" s="48"/>
    </row>
    <row r="137" spans="1:9" s="45" customFormat="1" ht="11.25" x14ac:dyDescent="0.2">
      <c r="A137" s="98"/>
      <c r="B137" s="46"/>
      <c r="C137" s="49"/>
      <c r="D137" s="47"/>
      <c r="E137" s="48"/>
      <c r="F137" s="50"/>
      <c r="I137" s="48"/>
    </row>
    <row r="139" spans="1:9" x14ac:dyDescent="0.2">
      <c r="A139" s="97"/>
      <c r="B139" s="46"/>
      <c r="C139" s="49"/>
      <c r="D139" s="47"/>
      <c r="E139" s="51"/>
      <c r="I139" s="51"/>
    </row>
    <row r="140" spans="1:9" x14ac:dyDescent="0.2">
      <c r="A140" s="97"/>
      <c r="B140" s="46"/>
      <c r="C140" s="49"/>
      <c r="D140" s="47"/>
      <c r="E140" s="51"/>
      <c r="I140" s="51"/>
    </row>
    <row r="141" spans="1:9" x14ac:dyDescent="0.2">
      <c r="A141" s="97"/>
      <c r="B141" s="46"/>
      <c r="C141" s="49"/>
      <c r="D141" s="47"/>
      <c r="E141" s="51"/>
      <c r="I141" s="51"/>
    </row>
    <row r="142" spans="1:9" x14ac:dyDescent="0.2">
      <c r="A142" s="97"/>
      <c r="B142" s="46"/>
      <c r="C142" s="49"/>
      <c r="D142" s="47"/>
      <c r="E142" s="51"/>
      <c r="I142" s="51"/>
    </row>
    <row r="143" spans="1:9" x14ac:dyDescent="0.2">
      <c r="A143" s="97"/>
      <c r="B143" s="46"/>
      <c r="C143" s="49"/>
      <c r="D143" s="47"/>
      <c r="E143" s="51"/>
      <c r="I143" s="51"/>
    </row>
    <row r="144" spans="1:9" x14ac:dyDescent="0.2">
      <c r="A144" s="97"/>
      <c r="B144" s="46"/>
      <c r="C144" s="49"/>
      <c r="D144" s="47"/>
      <c r="E144" s="51"/>
      <c r="I144" s="51"/>
    </row>
    <row r="145" spans="1:9" s="41" customFormat="1" x14ac:dyDescent="0.2">
      <c r="A145" s="97"/>
      <c r="B145" s="46"/>
      <c r="C145" s="49"/>
      <c r="D145" s="47"/>
      <c r="E145" s="51"/>
      <c r="G145" s="39"/>
      <c r="I145" s="51"/>
    </row>
    <row r="146" spans="1:9" s="41" customFormat="1" x14ac:dyDescent="0.2">
      <c r="A146" s="97"/>
      <c r="B146" s="46"/>
      <c r="C146" s="49"/>
      <c r="D146" s="47"/>
      <c r="E146" s="51"/>
      <c r="G146" s="39"/>
      <c r="I146" s="51"/>
    </row>
    <row r="147" spans="1:9" s="41" customFormat="1" x14ac:dyDescent="0.2">
      <c r="A147" s="97"/>
      <c r="B147" s="46"/>
      <c r="C147" s="49"/>
      <c r="D147" s="47"/>
      <c r="E147" s="51"/>
      <c r="G147" s="39"/>
      <c r="I147" s="51"/>
    </row>
    <row r="148" spans="1:9" s="41" customFormat="1" x14ac:dyDescent="0.2">
      <c r="A148" s="97"/>
      <c r="B148" s="46"/>
      <c r="C148" s="49"/>
      <c r="D148" s="47"/>
      <c r="E148" s="51"/>
      <c r="G148" s="39"/>
      <c r="I148" s="51"/>
    </row>
    <row r="149" spans="1:9" s="41" customFormat="1" x14ac:dyDescent="0.2">
      <c r="A149" s="97"/>
      <c r="B149" s="46"/>
      <c r="C149" s="49"/>
      <c r="D149" s="47"/>
      <c r="E149" s="51"/>
      <c r="G149" s="39"/>
      <c r="I149" s="51"/>
    </row>
    <row r="150" spans="1:9" s="41" customFormat="1" x14ac:dyDescent="0.2">
      <c r="A150" s="97"/>
      <c r="B150" s="46"/>
      <c r="C150" s="49"/>
      <c r="D150" s="47"/>
      <c r="E150" s="51"/>
      <c r="G150" s="39"/>
      <c r="I150" s="51"/>
    </row>
    <row r="151" spans="1:9" s="41" customFormat="1" x14ac:dyDescent="0.2">
      <c r="A151" s="97"/>
      <c r="B151" s="46"/>
      <c r="C151" s="49"/>
      <c r="D151" s="47"/>
      <c r="E151" s="51"/>
      <c r="G151" s="39"/>
      <c r="I151" s="51"/>
    </row>
    <row r="152" spans="1:9" s="41" customFormat="1" x14ac:dyDescent="0.2">
      <c r="A152" s="97"/>
      <c r="B152" s="46"/>
      <c r="C152" s="49"/>
      <c r="D152" s="47"/>
      <c r="E152" s="51"/>
      <c r="G152" s="39"/>
      <c r="I152" s="51"/>
    </row>
    <row r="153" spans="1:9" s="41" customFormat="1" x14ac:dyDescent="0.2">
      <c r="A153" s="97"/>
      <c r="B153" s="46"/>
      <c r="C153" s="49"/>
      <c r="D153" s="47"/>
      <c r="E153" s="51"/>
      <c r="G153" s="39"/>
      <c r="I153" s="51"/>
    </row>
    <row r="154" spans="1:9" s="41" customFormat="1" x14ac:dyDescent="0.2">
      <c r="A154" s="97"/>
      <c r="B154" s="46"/>
      <c r="C154" s="49"/>
      <c r="D154" s="47"/>
      <c r="E154" s="51"/>
      <c r="G154" s="39"/>
      <c r="I154" s="51"/>
    </row>
    <row r="155" spans="1:9" s="41" customFormat="1" x14ac:dyDescent="0.2">
      <c r="A155" s="97"/>
      <c r="B155" s="46"/>
      <c r="C155" s="49"/>
      <c r="D155" s="47"/>
      <c r="E155" s="51"/>
      <c r="G155" s="39"/>
      <c r="I155" s="51"/>
    </row>
    <row r="156" spans="1:9" s="41" customFormat="1" x14ac:dyDescent="0.2">
      <c r="A156" s="97"/>
      <c r="B156" s="46"/>
      <c r="C156" s="49"/>
      <c r="D156" s="47"/>
      <c r="E156" s="51"/>
      <c r="G156" s="39"/>
      <c r="I156" s="51"/>
    </row>
    <row r="157" spans="1:9" s="41" customFormat="1" x14ac:dyDescent="0.2">
      <c r="A157" s="97"/>
      <c r="B157" s="46"/>
      <c r="C157" s="49"/>
      <c r="D157" s="47"/>
      <c r="E157" s="51"/>
      <c r="G157" s="39"/>
      <c r="I157" s="51"/>
    </row>
    <row r="158" spans="1:9" s="41" customFormat="1" x14ac:dyDescent="0.2">
      <c r="A158" s="97"/>
      <c r="B158" s="46"/>
      <c r="C158" s="49"/>
      <c r="D158" s="47"/>
      <c r="E158" s="51"/>
      <c r="G158" s="39"/>
      <c r="I158" s="51"/>
    </row>
    <row r="159" spans="1:9" s="41" customFormat="1" x14ac:dyDescent="0.2">
      <c r="A159" s="97"/>
      <c r="B159" s="46"/>
      <c r="C159" s="49"/>
      <c r="D159" s="47"/>
      <c r="E159" s="51"/>
      <c r="G159" s="39"/>
      <c r="I159" s="51"/>
    </row>
    <row r="160" spans="1:9" s="41" customFormat="1" x14ac:dyDescent="0.2">
      <c r="A160" s="97"/>
      <c r="B160" s="46"/>
      <c r="C160" s="49"/>
      <c r="D160" s="47"/>
      <c r="E160" s="51"/>
      <c r="G160" s="39"/>
      <c r="I160" s="51"/>
    </row>
    <row r="161" spans="1:9" s="41" customFormat="1" x14ac:dyDescent="0.2">
      <c r="A161" s="97"/>
      <c r="B161" s="46"/>
      <c r="C161" s="49"/>
      <c r="D161" s="47"/>
      <c r="E161" s="51"/>
      <c r="G161" s="39"/>
      <c r="I161" s="51"/>
    </row>
    <row r="162" spans="1:9" s="41" customFormat="1" x14ac:dyDescent="0.2">
      <c r="A162" s="97"/>
      <c r="B162" s="46"/>
      <c r="C162" s="49"/>
      <c r="D162" s="47"/>
      <c r="E162" s="51"/>
      <c r="G162" s="39"/>
      <c r="I162" s="51"/>
    </row>
    <row r="163" spans="1:9" s="41" customFormat="1" x14ac:dyDescent="0.2">
      <c r="A163" s="97"/>
      <c r="B163" s="46"/>
      <c r="C163" s="49"/>
      <c r="D163" s="47"/>
      <c r="E163" s="51"/>
      <c r="G163" s="39"/>
      <c r="I163" s="51"/>
    </row>
    <row r="164" spans="1:9" s="41" customFormat="1" x14ac:dyDescent="0.2">
      <c r="A164" s="97"/>
      <c r="B164" s="46"/>
      <c r="C164" s="49"/>
      <c r="D164" s="47"/>
      <c r="E164" s="51"/>
      <c r="G164" s="39"/>
      <c r="I164" s="51"/>
    </row>
    <row r="165" spans="1:9" s="41" customFormat="1" x14ac:dyDescent="0.2">
      <c r="A165" s="97"/>
      <c r="B165" s="46"/>
      <c r="C165" s="49"/>
      <c r="D165" s="47"/>
      <c r="E165" s="51"/>
      <c r="G165" s="39"/>
      <c r="I165" s="51"/>
    </row>
    <row r="166" spans="1:9" s="41" customFormat="1" x14ac:dyDescent="0.2">
      <c r="A166" s="97"/>
      <c r="B166" s="46"/>
      <c r="C166" s="49"/>
      <c r="D166" s="47"/>
      <c r="E166" s="51"/>
      <c r="G166" s="39"/>
      <c r="I166" s="51"/>
    </row>
    <row r="167" spans="1:9" s="41" customFormat="1" x14ac:dyDescent="0.2">
      <c r="A167" s="97"/>
      <c r="B167" s="46"/>
      <c r="C167" s="49"/>
      <c r="D167" s="47"/>
      <c r="E167" s="51"/>
      <c r="G167" s="39"/>
      <c r="I167" s="51"/>
    </row>
    <row r="168" spans="1:9" s="41" customFormat="1" x14ac:dyDescent="0.2">
      <c r="A168" s="97"/>
      <c r="B168" s="46"/>
      <c r="C168" s="49"/>
      <c r="D168" s="47"/>
      <c r="E168" s="51"/>
      <c r="G168" s="39"/>
      <c r="I168" s="51"/>
    </row>
    <row r="169" spans="1:9" s="41" customFormat="1" x14ac:dyDescent="0.2">
      <c r="A169" s="97"/>
      <c r="B169" s="46"/>
      <c r="C169" s="49"/>
      <c r="D169" s="47"/>
      <c r="E169" s="51"/>
      <c r="G169" s="39"/>
      <c r="I169" s="51"/>
    </row>
    <row r="170" spans="1:9" s="41" customFormat="1" x14ac:dyDescent="0.2">
      <c r="A170" s="97"/>
      <c r="B170" s="46"/>
      <c r="C170" s="49"/>
      <c r="D170" s="47"/>
      <c r="E170" s="51"/>
      <c r="G170" s="39"/>
      <c r="I170" s="51"/>
    </row>
    <row r="171" spans="1:9" s="41" customFormat="1" x14ac:dyDescent="0.2">
      <c r="A171" s="97"/>
      <c r="B171" s="46"/>
      <c r="C171" s="49"/>
      <c r="D171" s="47"/>
      <c r="E171" s="51"/>
      <c r="G171" s="39"/>
      <c r="I171" s="51"/>
    </row>
    <row r="172" spans="1:9" s="41" customFormat="1" x14ac:dyDescent="0.2">
      <c r="A172" s="97"/>
      <c r="B172" s="46"/>
      <c r="C172" s="49"/>
      <c r="D172" s="47"/>
      <c r="E172" s="51"/>
      <c r="G172" s="39"/>
      <c r="I172" s="51"/>
    </row>
    <row r="173" spans="1:9" s="41" customFormat="1" x14ac:dyDescent="0.2">
      <c r="A173" s="97"/>
      <c r="B173" s="46"/>
      <c r="C173" s="49"/>
      <c r="D173" s="47"/>
      <c r="E173" s="51"/>
      <c r="G173" s="39"/>
      <c r="I173" s="51"/>
    </row>
    <row r="174" spans="1:9" s="41" customFormat="1" x14ac:dyDescent="0.2">
      <c r="A174" s="97"/>
      <c r="B174" s="46"/>
      <c r="C174" s="49"/>
      <c r="D174" s="47"/>
      <c r="E174" s="51"/>
      <c r="G174" s="39"/>
      <c r="I174" s="51"/>
    </row>
    <row r="175" spans="1:9" s="41" customFormat="1" x14ac:dyDescent="0.2">
      <c r="A175" s="97"/>
      <c r="B175" s="46"/>
      <c r="C175" s="49"/>
      <c r="D175" s="47"/>
      <c r="E175" s="51"/>
      <c r="G175" s="39"/>
      <c r="I175" s="51"/>
    </row>
    <row r="176" spans="1:9" s="41" customFormat="1" x14ac:dyDescent="0.2">
      <c r="A176" s="97"/>
      <c r="B176" s="46"/>
      <c r="C176" s="49"/>
      <c r="D176" s="47"/>
      <c r="E176" s="51"/>
      <c r="G176" s="39"/>
      <c r="I176" s="51"/>
    </row>
    <row r="177" spans="1:9" s="41" customFormat="1" x14ac:dyDescent="0.2">
      <c r="A177" s="97"/>
      <c r="B177" s="46"/>
      <c r="C177" s="49"/>
      <c r="D177" s="47"/>
      <c r="E177" s="51"/>
      <c r="G177" s="39"/>
      <c r="I177" s="51"/>
    </row>
    <row r="178" spans="1:9" s="41" customFormat="1" x14ac:dyDescent="0.2">
      <c r="A178" s="97"/>
      <c r="B178" s="46"/>
      <c r="C178" s="49"/>
      <c r="D178" s="47"/>
      <c r="E178" s="51"/>
      <c r="G178" s="39"/>
      <c r="I178" s="51"/>
    </row>
    <row r="179" spans="1:9" s="41" customFormat="1" x14ac:dyDescent="0.2">
      <c r="A179" s="97"/>
      <c r="B179" s="46"/>
      <c r="C179" s="49"/>
      <c r="D179" s="47"/>
      <c r="E179" s="51"/>
      <c r="G179" s="39"/>
      <c r="I179" s="51"/>
    </row>
    <row r="180" spans="1:9" s="41" customFormat="1" x14ac:dyDescent="0.2">
      <c r="A180" s="97"/>
      <c r="B180" s="46"/>
      <c r="C180" s="49"/>
      <c r="D180" s="47"/>
      <c r="E180" s="51"/>
      <c r="G180" s="39"/>
      <c r="I180" s="51"/>
    </row>
    <row r="181" spans="1:9" s="41" customFormat="1" x14ac:dyDescent="0.2">
      <c r="A181" s="97"/>
      <c r="B181" s="46"/>
      <c r="C181" s="49"/>
      <c r="D181" s="47"/>
      <c r="E181" s="51"/>
      <c r="G181" s="39"/>
      <c r="I181" s="51"/>
    </row>
    <row r="182" spans="1:9" s="41" customFormat="1" x14ac:dyDescent="0.2">
      <c r="A182" s="97"/>
      <c r="B182" s="46"/>
      <c r="C182" s="49"/>
      <c r="D182" s="47"/>
      <c r="E182" s="51"/>
      <c r="G182" s="39"/>
      <c r="I182" s="51"/>
    </row>
    <row r="183" spans="1:9" s="41" customFormat="1" x14ac:dyDescent="0.2">
      <c r="A183" s="97"/>
      <c r="B183" s="46"/>
      <c r="C183" s="49"/>
      <c r="D183" s="47"/>
      <c r="E183" s="51"/>
      <c r="G183" s="39"/>
      <c r="I183" s="51"/>
    </row>
    <row r="184" spans="1:9" s="41" customFormat="1" x14ac:dyDescent="0.2">
      <c r="A184" s="97"/>
      <c r="B184" s="46"/>
      <c r="C184" s="49"/>
      <c r="D184" s="47"/>
      <c r="E184" s="51"/>
      <c r="G184" s="39"/>
      <c r="I184" s="51"/>
    </row>
    <row r="185" spans="1:9" s="41" customFormat="1" x14ac:dyDescent="0.2">
      <c r="A185" s="97"/>
      <c r="B185" s="46"/>
      <c r="C185" s="49"/>
      <c r="D185" s="47"/>
      <c r="E185" s="51"/>
      <c r="G185" s="39"/>
      <c r="I185" s="51"/>
    </row>
    <row r="186" spans="1:9" s="41" customFormat="1" x14ac:dyDescent="0.2">
      <c r="A186" s="97"/>
      <c r="B186" s="46"/>
      <c r="C186" s="49"/>
      <c r="D186" s="47"/>
      <c r="E186" s="51"/>
      <c r="G186" s="39"/>
      <c r="I186" s="51"/>
    </row>
    <row r="187" spans="1:9" s="41" customFormat="1" x14ac:dyDescent="0.2">
      <c r="A187" s="97"/>
      <c r="B187" s="46"/>
      <c r="C187" s="49"/>
      <c r="D187" s="47"/>
      <c r="E187" s="51"/>
      <c r="G187" s="39"/>
      <c r="I187" s="51"/>
    </row>
    <row r="188" spans="1:9" s="41" customFormat="1" x14ac:dyDescent="0.2">
      <c r="A188" s="97"/>
      <c r="B188" s="46"/>
      <c r="C188" s="49"/>
      <c r="D188" s="47"/>
      <c r="E188" s="51"/>
      <c r="G188" s="39"/>
      <c r="I188" s="51"/>
    </row>
    <row r="189" spans="1:9" s="41" customFormat="1" x14ac:dyDescent="0.2">
      <c r="A189" s="97"/>
      <c r="B189" s="46"/>
      <c r="C189" s="49"/>
      <c r="D189" s="47"/>
      <c r="E189" s="51"/>
      <c r="G189" s="39"/>
      <c r="I189" s="51"/>
    </row>
    <row r="190" spans="1:9" s="41" customFormat="1" x14ac:dyDescent="0.2">
      <c r="A190" s="97"/>
      <c r="B190" s="46"/>
      <c r="C190" s="49"/>
      <c r="D190" s="47"/>
      <c r="E190" s="52"/>
      <c r="G190" s="39"/>
      <c r="I190" s="52"/>
    </row>
    <row r="191" spans="1:9" s="41" customFormat="1" x14ac:dyDescent="0.2">
      <c r="A191" s="97"/>
      <c r="B191" s="46"/>
      <c r="C191" s="49"/>
      <c r="D191" s="47"/>
      <c r="E191" s="52"/>
      <c r="G191" s="39"/>
      <c r="I191" s="52"/>
    </row>
    <row r="192" spans="1:9" s="41" customFormat="1" x14ac:dyDescent="0.2">
      <c r="A192" s="97"/>
      <c r="B192" s="46"/>
      <c r="C192" s="49"/>
      <c r="D192" s="47"/>
      <c r="E192" s="51"/>
      <c r="G192" s="39"/>
      <c r="I192" s="51"/>
    </row>
  </sheetData>
  <mergeCells count="3">
    <mergeCell ref="A50:E50"/>
    <mergeCell ref="F1:G1"/>
    <mergeCell ref="F4:G4"/>
  </mergeCells>
  <conditionalFormatting sqref="A8:G8">
    <cfRule type="expression" dxfId="3" priority="4">
      <formula>AND($O$13="Item",A8&lt;&gt;I8)</formula>
    </cfRule>
  </conditionalFormatting>
  <conditionalFormatting sqref="F38">
    <cfRule type="expression" dxfId="2" priority="3">
      <formula>$F$38&lt;&gt;$G$38</formula>
    </cfRule>
  </conditionalFormatting>
  <conditionalFormatting sqref="I8">
    <cfRule type="expression" dxfId="1" priority="2">
      <formula>AND($O$13="Item",I8&lt;&gt;Q8)</formula>
    </cfRule>
  </conditionalFormatting>
  <conditionalFormatting sqref="I9">
    <cfRule type="expression" dxfId="0" priority="1">
      <formula>AND($O$13="Item",I9&lt;&gt;Q9)</formula>
    </cfRule>
  </conditionalFormatting>
  <pageMargins left="0.59055118110236227" right="0.59055118110236227" top="0.9055118110236221" bottom="0.74803149606299213" header="0.31496062992125984" footer="0.31496062992125984"/>
  <pageSetup paperSize="9" scale="78" fitToHeight="0" orientation="portrait" r:id="rId1"/>
  <headerFooter scaleWithDoc="0">
    <oddHeader>&amp;L&amp;A&amp;R&amp;G</oddHeader>
    <oddFooter>&amp;L&amp;"Arial,Regular"&amp;9&amp;Z&amp;F
&amp;D&amp;R&amp;"Arial,Regular"&amp;9Page &amp;P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F94"/>
  <sheetViews>
    <sheetView workbookViewId="0">
      <selection activeCell="F1" sqref="F1"/>
    </sheetView>
  </sheetViews>
  <sheetFormatPr defaultColWidth="9.140625" defaultRowHeight="15" customHeight="1" x14ac:dyDescent="0.2"/>
  <cols>
    <col min="1" max="1" width="12.7109375" style="162" customWidth="1"/>
    <col min="2" max="2" width="50.7109375" style="162" customWidth="1"/>
    <col min="3" max="4" width="12.7109375" style="162" customWidth="1"/>
    <col min="5" max="6" width="15.7109375" style="162" customWidth="1"/>
    <col min="7" max="16384" width="9.140625" style="162"/>
  </cols>
  <sheetData>
    <row r="1" spans="1:6" ht="15" customHeight="1" x14ac:dyDescent="0.25">
      <c r="A1" s="1" t="s">
        <v>0</v>
      </c>
      <c r="F1" s="161">
        <v>43544</v>
      </c>
    </row>
    <row r="2" spans="1:6" ht="15" customHeight="1" x14ac:dyDescent="0.25">
      <c r="A2" s="1" t="s">
        <v>127</v>
      </c>
    </row>
    <row r="4" spans="1:6" ht="30" x14ac:dyDescent="0.2">
      <c r="A4" s="182" t="s">
        <v>2</v>
      </c>
      <c r="B4" s="182" t="s">
        <v>3</v>
      </c>
      <c r="C4" s="182" t="s">
        <v>4</v>
      </c>
      <c r="D4" s="182" t="s">
        <v>5</v>
      </c>
      <c r="E4" s="183" t="s">
        <v>6</v>
      </c>
      <c r="F4" s="183" t="s">
        <v>7</v>
      </c>
    </row>
    <row r="5" spans="1:6" ht="15" customHeight="1" x14ac:dyDescent="0.25">
      <c r="A5" s="165">
        <v>1</v>
      </c>
      <c r="B5" s="70" t="s">
        <v>8</v>
      </c>
      <c r="C5" s="71"/>
      <c r="D5" s="72"/>
      <c r="E5" s="79"/>
      <c r="F5" s="74">
        <f>SUM(F6:F11)</f>
        <v>134319.28850000002</v>
      </c>
    </row>
    <row r="6" spans="1:6" ht="15" customHeight="1" x14ac:dyDescent="0.2">
      <c r="A6" s="177">
        <v>1.1000000000000001</v>
      </c>
      <c r="B6" s="127" t="s">
        <v>9</v>
      </c>
      <c r="C6" s="167">
        <f>C7</f>
        <v>3634.3</v>
      </c>
      <c r="D6" s="173" t="s">
        <v>11</v>
      </c>
      <c r="E6" s="174">
        <v>5</v>
      </c>
      <c r="F6" s="170">
        <f t="shared" ref="F6:F11" si="0">C6*E6</f>
        <v>18171.5</v>
      </c>
    </row>
    <row r="7" spans="1:6" ht="15" customHeight="1" x14ac:dyDescent="0.2">
      <c r="A7" s="177">
        <v>1.2</v>
      </c>
      <c r="B7" s="127" t="s">
        <v>12</v>
      </c>
      <c r="C7" s="167">
        <f>ROUNDUP(C33/2*5,0)+C43+C40+(C14+C20+C26)*0.2</f>
        <v>3634.3</v>
      </c>
      <c r="D7" s="173" t="s">
        <v>11</v>
      </c>
      <c r="E7" s="174">
        <v>7</v>
      </c>
      <c r="F7" s="170">
        <f t="shared" si="0"/>
        <v>25440.100000000002</v>
      </c>
    </row>
    <row r="8" spans="1:6" ht="15" customHeight="1" x14ac:dyDescent="0.2">
      <c r="A8" s="177">
        <v>1.3</v>
      </c>
      <c r="B8" s="127" t="s">
        <v>13</v>
      </c>
      <c r="C8" s="167">
        <v>1</v>
      </c>
      <c r="D8" s="173" t="s">
        <v>14</v>
      </c>
      <c r="E8" s="174">
        <v>5000</v>
      </c>
      <c r="F8" s="170">
        <f t="shared" si="0"/>
        <v>5000</v>
      </c>
    </row>
    <row r="9" spans="1:6" ht="15" customHeight="1" x14ac:dyDescent="0.2">
      <c r="A9" s="177">
        <v>1.4</v>
      </c>
      <c r="B9" s="127" t="s">
        <v>15</v>
      </c>
      <c r="C9" s="167">
        <v>1</v>
      </c>
      <c r="D9" s="173" t="s">
        <v>14</v>
      </c>
      <c r="E9" s="174">
        <v>3200</v>
      </c>
      <c r="F9" s="170">
        <f t="shared" si="0"/>
        <v>3200</v>
      </c>
    </row>
    <row r="10" spans="1:6" ht="15" customHeight="1" x14ac:dyDescent="0.2">
      <c r="A10" s="177">
        <v>1.5</v>
      </c>
      <c r="B10" s="127" t="s">
        <v>16</v>
      </c>
      <c r="C10" s="167">
        <f>(C16*0.4+C37*0.25+C43*0.175+C17*0.3)*0.6</f>
        <v>1243.8345000000002</v>
      </c>
      <c r="D10" s="173" t="s">
        <v>17</v>
      </c>
      <c r="E10" s="174">
        <v>45</v>
      </c>
      <c r="F10" s="170">
        <f t="shared" si="0"/>
        <v>55972.552500000005</v>
      </c>
    </row>
    <row r="11" spans="1:6" ht="15" customHeight="1" x14ac:dyDescent="0.2">
      <c r="A11" s="177">
        <v>1.6</v>
      </c>
      <c r="B11" s="127" t="s">
        <v>18</v>
      </c>
      <c r="C11" s="167">
        <f>(C16*0.4+C37*0.25+C43*0.175+C17*0.3)*0.4</f>
        <v>829.22300000000018</v>
      </c>
      <c r="D11" s="173" t="s">
        <v>17</v>
      </c>
      <c r="E11" s="174">
        <v>32</v>
      </c>
      <c r="F11" s="170">
        <f t="shared" si="0"/>
        <v>26535.136000000006</v>
      </c>
    </row>
    <row r="12" spans="1:6" ht="15" customHeight="1" x14ac:dyDescent="0.25">
      <c r="A12" s="165">
        <v>2</v>
      </c>
      <c r="B12" s="70" t="s">
        <v>19</v>
      </c>
      <c r="C12" s="71"/>
      <c r="D12" s="72"/>
      <c r="E12" s="79"/>
      <c r="F12" s="74">
        <f>SUM(F14:F30)</f>
        <v>444638.6</v>
      </c>
    </row>
    <row r="13" spans="1:6" ht="15" customHeight="1" x14ac:dyDescent="0.25">
      <c r="A13" s="163">
        <v>2.1</v>
      </c>
      <c r="B13" s="62" t="s">
        <v>20</v>
      </c>
      <c r="C13" s="167"/>
      <c r="D13" s="168"/>
      <c r="E13" s="172"/>
      <c r="F13" s="170"/>
    </row>
    <row r="14" spans="1:6" ht="15" customHeight="1" x14ac:dyDescent="0.2">
      <c r="A14" s="164" t="s">
        <v>21</v>
      </c>
      <c r="B14" s="127" t="s">
        <v>22</v>
      </c>
      <c r="C14" s="167">
        <f>170+13+206+206+187+15+13+183+392+521+15+341+165+15+638+114</f>
        <v>3194</v>
      </c>
      <c r="D14" s="173" t="s">
        <v>11</v>
      </c>
      <c r="E14" s="174">
        <v>27</v>
      </c>
      <c r="F14" s="170">
        <f t="shared" ref="F14:F18" si="1">C14*E14</f>
        <v>86238</v>
      </c>
    </row>
    <row r="15" spans="1:6" ht="15" customHeight="1" x14ac:dyDescent="0.2">
      <c r="A15" s="164" t="s">
        <v>23</v>
      </c>
      <c r="B15" s="127" t="s">
        <v>24</v>
      </c>
      <c r="C15" s="167">
        <f>C14</f>
        <v>3194</v>
      </c>
      <c r="D15" s="173" t="s">
        <v>11</v>
      </c>
      <c r="E15" s="174">
        <f>ROUNDUP(32*100/75,0)</f>
        <v>43</v>
      </c>
      <c r="F15" s="170">
        <f t="shared" si="1"/>
        <v>137342</v>
      </c>
    </row>
    <row r="16" spans="1:6" ht="15" customHeight="1" x14ac:dyDescent="0.2">
      <c r="A16" s="164" t="s">
        <v>25</v>
      </c>
      <c r="B16" s="127" t="s">
        <v>26</v>
      </c>
      <c r="C16" s="167">
        <f>C15+(C35*0.45)+(C33*0.75)</f>
        <v>3759.5</v>
      </c>
      <c r="D16" s="173" t="s">
        <v>11</v>
      </c>
      <c r="E16" s="174">
        <f>ROUNDUP(18*260/110,0)</f>
        <v>43</v>
      </c>
      <c r="F16" s="170">
        <f t="shared" si="1"/>
        <v>161658.5</v>
      </c>
    </row>
    <row r="17" spans="1:6" ht="15" customHeight="1" x14ac:dyDescent="0.2">
      <c r="A17" s="164" t="s">
        <v>27</v>
      </c>
      <c r="B17" s="127" t="s">
        <v>28</v>
      </c>
      <c r="C17" s="167">
        <f>C16*0.2</f>
        <v>751.90000000000009</v>
      </c>
      <c r="D17" s="173" t="s">
        <v>11</v>
      </c>
      <c r="E17" s="174">
        <v>24</v>
      </c>
      <c r="F17" s="170">
        <f t="shared" si="1"/>
        <v>18045.600000000002</v>
      </c>
    </row>
    <row r="18" spans="1:6" ht="15" customHeight="1" x14ac:dyDescent="0.2">
      <c r="A18" s="164" t="s">
        <v>29</v>
      </c>
      <c r="B18" s="127" t="s">
        <v>30</v>
      </c>
      <c r="C18" s="167">
        <f>C16*0.1</f>
        <v>375.95000000000005</v>
      </c>
      <c r="D18" s="173" t="s">
        <v>11</v>
      </c>
      <c r="E18" s="174">
        <v>110</v>
      </c>
      <c r="F18" s="170">
        <f t="shared" si="1"/>
        <v>41354.500000000007</v>
      </c>
    </row>
    <row r="19" spans="1:6" ht="15" customHeight="1" x14ac:dyDescent="0.25">
      <c r="A19" s="163">
        <v>2.2000000000000002</v>
      </c>
      <c r="B19" s="62" t="s">
        <v>31</v>
      </c>
      <c r="C19" s="167"/>
      <c r="D19" s="168"/>
      <c r="E19" s="172"/>
      <c r="F19" s="170"/>
    </row>
    <row r="20" spans="1:6" ht="15" customHeight="1" x14ac:dyDescent="0.2">
      <c r="A20" s="164" t="s">
        <v>32</v>
      </c>
      <c r="B20" s="127" t="s">
        <v>22</v>
      </c>
      <c r="C20" s="167">
        <v>0</v>
      </c>
      <c r="D20" s="173" t="s">
        <v>11</v>
      </c>
      <c r="E20" s="174">
        <v>27</v>
      </c>
      <c r="F20" s="170">
        <f t="shared" ref="F20:F24" si="2">C20*E20</f>
        <v>0</v>
      </c>
    </row>
    <row r="21" spans="1:6" ht="15" customHeight="1" x14ac:dyDescent="0.2">
      <c r="A21" s="164" t="s">
        <v>33</v>
      </c>
      <c r="B21" s="127" t="s">
        <v>34</v>
      </c>
      <c r="C21" s="167">
        <f>C20</f>
        <v>0</v>
      </c>
      <c r="D21" s="173" t="s">
        <v>11</v>
      </c>
      <c r="E21" s="174">
        <f>ROUNDUP(32*150/75,0)</f>
        <v>64</v>
      </c>
      <c r="F21" s="170">
        <f t="shared" si="2"/>
        <v>0</v>
      </c>
    </row>
    <row r="22" spans="1:6" ht="15" customHeight="1" x14ac:dyDescent="0.2">
      <c r="A22" s="164" t="s">
        <v>35</v>
      </c>
      <c r="B22" s="127" t="s">
        <v>36</v>
      </c>
      <c r="C22" s="167">
        <v>0</v>
      </c>
      <c r="D22" s="173" t="s">
        <v>11</v>
      </c>
      <c r="E22" s="174">
        <f>ROUNDUP(18*300/110,0)</f>
        <v>50</v>
      </c>
      <c r="F22" s="170">
        <f t="shared" si="2"/>
        <v>0</v>
      </c>
    </row>
    <row r="23" spans="1:6" ht="15" customHeight="1" x14ac:dyDescent="0.2">
      <c r="A23" s="164" t="s">
        <v>37</v>
      </c>
      <c r="B23" s="127" t="s">
        <v>28</v>
      </c>
      <c r="C23" s="167">
        <f>C22*0.2</f>
        <v>0</v>
      </c>
      <c r="D23" s="173" t="s">
        <v>11</v>
      </c>
      <c r="E23" s="174">
        <v>24</v>
      </c>
      <c r="F23" s="170">
        <f t="shared" si="2"/>
        <v>0</v>
      </c>
    </row>
    <row r="24" spans="1:6" ht="15" customHeight="1" x14ac:dyDescent="0.2">
      <c r="A24" s="164" t="s">
        <v>38</v>
      </c>
      <c r="B24" s="127" t="s">
        <v>30</v>
      </c>
      <c r="C24" s="167">
        <f>C22*0.1</f>
        <v>0</v>
      </c>
      <c r="D24" s="173" t="s">
        <v>11</v>
      </c>
      <c r="E24" s="174">
        <v>110</v>
      </c>
      <c r="F24" s="170">
        <f t="shared" si="2"/>
        <v>0</v>
      </c>
    </row>
    <row r="25" spans="1:6" ht="15" customHeight="1" x14ac:dyDescent="0.25">
      <c r="A25" s="163">
        <v>2.2999999999999998</v>
      </c>
      <c r="B25" s="62" t="s">
        <v>39</v>
      </c>
      <c r="C25" s="179"/>
      <c r="D25" s="179"/>
      <c r="E25" s="179"/>
      <c r="F25" s="180"/>
    </row>
    <row r="26" spans="1:6" ht="15" customHeight="1" x14ac:dyDescent="0.2">
      <c r="A26" s="164" t="s">
        <v>40</v>
      </c>
      <c r="B26" s="127" t="s">
        <v>41</v>
      </c>
      <c r="C26" s="167">
        <v>0</v>
      </c>
      <c r="D26" s="173" t="s">
        <v>11</v>
      </c>
      <c r="E26" s="174">
        <f>ROUNDUP(E14*0.85,0)</f>
        <v>23</v>
      </c>
      <c r="F26" s="170">
        <f t="shared" ref="F26:F30" si="3">C26*E26</f>
        <v>0</v>
      </c>
    </row>
    <row r="27" spans="1:6" ht="15" customHeight="1" x14ac:dyDescent="0.2">
      <c r="A27" s="164" t="s">
        <v>42</v>
      </c>
      <c r="B27" s="127" t="s">
        <v>24</v>
      </c>
      <c r="C27" s="167">
        <f>C26</f>
        <v>0</v>
      </c>
      <c r="D27" s="173" t="s">
        <v>11</v>
      </c>
      <c r="E27" s="174">
        <f>E15</f>
        <v>43</v>
      </c>
      <c r="F27" s="170">
        <f t="shared" si="3"/>
        <v>0</v>
      </c>
    </row>
    <row r="28" spans="1:6" ht="15" customHeight="1" x14ac:dyDescent="0.2">
      <c r="A28" s="164" t="s">
        <v>43</v>
      </c>
      <c r="B28" s="127" t="s">
        <v>44</v>
      </c>
      <c r="C28" s="167">
        <v>0</v>
      </c>
      <c r="D28" s="173" t="s">
        <v>11</v>
      </c>
      <c r="E28" s="174">
        <f>E16</f>
        <v>43</v>
      </c>
      <c r="F28" s="170">
        <f t="shared" si="3"/>
        <v>0</v>
      </c>
    </row>
    <row r="29" spans="1:6" ht="15" customHeight="1" x14ac:dyDescent="0.2">
      <c r="A29" s="164" t="s">
        <v>45</v>
      </c>
      <c r="B29" s="127" t="s">
        <v>28</v>
      </c>
      <c r="C29" s="167">
        <f>C28*0.2</f>
        <v>0</v>
      </c>
      <c r="D29" s="173" t="s">
        <v>11</v>
      </c>
      <c r="E29" s="174">
        <f>E17</f>
        <v>24</v>
      </c>
      <c r="F29" s="170">
        <f t="shared" si="3"/>
        <v>0</v>
      </c>
    </row>
    <row r="30" spans="1:6" ht="15" customHeight="1" x14ac:dyDescent="0.2">
      <c r="A30" s="164" t="s">
        <v>46</v>
      </c>
      <c r="B30" s="127" t="s">
        <v>30</v>
      </c>
      <c r="C30" s="167">
        <f>C28*0.1</f>
        <v>0</v>
      </c>
      <c r="D30" s="173" t="s">
        <v>11</v>
      </c>
      <c r="E30" s="174">
        <f>E18</f>
        <v>110</v>
      </c>
      <c r="F30" s="170">
        <f t="shared" si="3"/>
        <v>0</v>
      </c>
    </row>
    <row r="31" spans="1:6" ht="15" customHeight="1" x14ac:dyDescent="0.25">
      <c r="A31" s="165">
        <v>3</v>
      </c>
      <c r="B31" s="70" t="s">
        <v>47</v>
      </c>
      <c r="C31" s="71"/>
      <c r="D31" s="72"/>
      <c r="E31" s="79"/>
      <c r="F31" s="74">
        <f>SUM(F33:F45)</f>
        <v>226960</v>
      </c>
    </row>
    <row r="32" spans="1:6" ht="15" customHeight="1" x14ac:dyDescent="0.25">
      <c r="A32" s="177">
        <v>3.1</v>
      </c>
      <c r="B32" s="62" t="s">
        <v>48</v>
      </c>
      <c r="C32" s="15"/>
      <c r="D32" s="14"/>
      <c r="E32" s="53"/>
      <c r="F32" s="16"/>
    </row>
    <row r="33" spans="1:6" ht="15" customHeight="1" x14ac:dyDescent="0.2">
      <c r="A33" s="178" t="s">
        <v>49</v>
      </c>
      <c r="B33" s="61" t="s">
        <v>50</v>
      </c>
      <c r="C33" s="167">
        <f>100+105+115+95+180</f>
        <v>595</v>
      </c>
      <c r="D33" s="168" t="s">
        <v>51</v>
      </c>
      <c r="E33" s="169">
        <v>64</v>
      </c>
      <c r="F33" s="170">
        <f t="shared" ref="F33:F35" si="4">SUM(E33*C33)</f>
        <v>38080</v>
      </c>
    </row>
    <row r="34" spans="1:6" ht="15" customHeight="1" x14ac:dyDescent="0.2">
      <c r="A34" s="178" t="s">
        <v>52</v>
      </c>
      <c r="B34" s="61" t="s">
        <v>53</v>
      </c>
      <c r="C34" s="167">
        <v>0</v>
      </c>
      <c r="D34" s="168" t="s">
        <v>51</v>
      </c>
      <c r="E34" s="169">
        <v>61</v>
      </c>
      <c r="F34" s="170">
        <f t="shared" si="4"/>
        <v>0</v>
      </c>
    </row>
    <row r="35" spans="1:6" ht="15" customHeight="1" x14ac:dyDescent="0.2">
      <c r="A35" s="178" t="s">
        <v>54</v>
      </c>
      <c r="B35" s="61" t="s">
        <v>55</v>
      </c>
      <c r="C35" s="167">
        <f>50+80+12+8+60+55</f>
        <v>265</v>
      </c>
      <c r="D35" s="168" t="s">
        <v>51</v>
      </c>
      <c r="E35" s="169">
        <v>52</v>
      </c>
      <c r="F35" s="170">
        <f t="shared" si="4"/>
        <v>13780</v>
      </c>
    </row>
    <row r="36" spans="1:6" ht="15" customHeight="1" x14ac:dyDescent="0.25">
      <c r="A36" s="177">
        <v>3.2</v>
      </c>
      <c r="B36" s="62" t="s">
        <v>56</v>
      </c>
      <c r="C36" s="171"/>
      <c r="D36" s="171"/>
      <c r="E36" s="171"/>
      <c r="F36" s="171"/>
    </row>
    <row r="37" spans="1:6" ht="15" customHeight="1" x14ac:dyDescent="0.2">
      <c r="A37" s="178" t="s">
        <v>57</v>
      </c>
      <c r="B37" s="61" t="s">
        <v>58</v>
      </c>
      <c r="C37" s="167">
        <f>3.5*5+5*5+1.5*3+2*5*4+5*1.5+28*2+115+30*1.8</f>
        <v>319.5</v>
      </c>
      <c r="D37" s="168" t="s">
        <v>11</v>
      </c>
      <c r="E37" s="169">
        <v>70</v>
      </c>
      <c r="F37" s="170">
        <f>SUM(E37*C37)</f>
        <v>22365</v>
      </c>
    </row>
    <row r="38" spans="1:6" ht="14.25" x14ac:dyDescent="0.2">
      <c r="A38" s="178" t="s">
        <v>59</v>
      </c>
      <c r="B38" s="61" t="s">
        <v>60</v>
      </c>
      <c r="C38" s="167">
        <f>C37</f>
        <v>319.5</v>
      </c>
      <c r="D38" s="168" t="s">
        <v>11</v>
      </c>
      <c r="E38" s="169">
        <v>35</v>
      </c>
      <c r="F38" s="170">
        <f>SUM(E38*C38)</f>
        <v>11182.5</v>
      </c>
    </row>
    <row r="39" spans="1:6" ht="15" customHeight="1" x14ac:dyDescent="0.25">
      <c r="A39" s="177">
        <v>3.3</v>
      </c>
      <c r="B39" s="62" t="s">
        <v>61</v>
      </c>
      <c r="E39" s="169"/>
      <c r="F39" s="170"/>
    </row>
    <row r="40" spans="1:6" ht="15" customHeight="1" x14ac:dyDescent="0.2">
      <c r="A40" s="178" t="s">
        <v>62</v>
      </c>
      <c r="B40" s="61" t="s">
        <v>63</v>
      </c>
      <c r="C40" s="167">
        <v>0</v>
      </c>
      <c r="D40" s="168" t="s">
        <v>11</v>
      </c>
      <c r="E40" s="169">
        <f>ROUNDUP(E37*125/150,0)</f>
        <v>59</v>
      </c>
      <c r="F40" s="170">
        <f t="shared" ref="F40:F41" si="5">SUM(E40*C40)</f>
        <v>0</v>
      </c>
    </row>
    <row r="41" spans="1:6" ht="15" customHeight="1" x14ac:dyDescent="0.2">
      <c r="A41" s="178" t="s">
        <v>64</v>
      </c>
      <c r="B41" s="61" t="s">
        <v>65</v>
      </c>
      <c r="C41" s="167">
        <v>0</v>
      </c>
      <c r="D41" s="168" t="s">
        <v>11</v>
      </c>
      <c r="E41" s="169">
        <f>ROUNDUP(E38*0.8,0)</f>
        <v>28</v>
      </c>
      <c r="F41" s="170">
        <f t="shared" si="5"/>
        <v>0</v>
      </c>
    </row>
    <row r="42" spans="1:6" ht="15" customHeight="1" x14ac:dyDescent="0.25">
      <c r="A42" s="177">
        <v>3.4</v>
      </c>
      <c r="B42" s="62" t="s">
        <v>66</v>
      </c>
      <c r="E42" s="169"/>
      <c r="F42" s="170"/>
    </row>
    <row r="43" spans="1:6" ht="14.25" x14ac:dyDescent="0.2">
      <c r="A43" s="178" t="s">
        <v>67</v>
      </c>
      <c r="B43" s="61" t="s">
        <v>63</v>
      </c>
      <c r="C43" s="167">
        <f>(90+48+85+95+10+95+180)*2.5</f>
        <v>1507.5</v>
      </c>
      <c r="D43" s="168" t="s">
        <v>11</v>
      </c>
      <c r="E43" s="169">
        <f>E40</f>
        <v>59</v>
      </c>
      <c r="F43" s="170">
        <f t="shared" ref="F43:F45" si="6">SUM(E43*C43)</f>
        <v>88942.5</v>
      </c>
    </row>
    <row r="44" spans="1:6" ht="14.25" x14ac:dyDescent="0.2">
      <c r="A44" s="178" t="s">
        <v>68</v>
      </c>
      <c r="B44" s="61" t="s">
        <v>65</v>
      </c>
      <c r="C44" s="167">
        <f>C43</f>
        <v>1507.5</v>
      </c>
      <c r="D44" s="168" t="s">
        <v>11</v>
      </c>
      <c r="E44" s="169">
        <f>ROUNDUP(E38*0.8,0)</f>
        <v>28</v>
      </c>
      <c r="F44" s="170">
        <f t="shared" si="6"/>
        <v>42210</v>
      </c>
    </row>
    <row r="45" spans="1:6" ht="15" customHeight="1" x14ac:dyDescent="0.2">
      <c r="A45" s="177">
        <v>3.5</v>
      </c>
      <c r="B45" s="61" t="s">
        <v>69</v>
      </c>
      <c r="C45" s="167">
        <v>16</v>
      </c>
      <c r="D45" s="168" t="s">
        <v>14</v>
      </c>
      <c r="E45" s="169">
        <v>650</v>
      </c>
      <c r="F45" s="170">
        <f t="shared" si="6"/>
        <v>10400</v>
      </c>
    </row>
    <row r="46" spans="1:6" ht="15" customHeight="1" x14ac:dyDescent="0.25">
      <c r="A46" s="165">
        <v>4</v>
      </c>
      <c r="B46" s="70" t="s">
        <v>70</v>
      </c>
      <c r="C46" s="71"/>
      <c r="D46" s="72"/>
      <c r="E46" s="79"/>
      <c r="F46" s="74">
        <f>SUM(F47:F60)</f>
        <v>252600</v>
      </c>
    </row>
    <row r="47" spans="1:6" ht="15" customHeight="1" x14ac:dyDescent="0.2">
      <c r="A47" s="177">
        <v>4.0999999999999996</v>
      </c>
      <c r="B47" s="61" t="s">
        <v>71</v>
      </c>
      <c r="C47" s="15">
        <v>6</v>
      </c>
      <c r="D47" s="14" t="s">
        <v>14</v>
      </c>
      <c r="E47" s="53">
        <v>4900</v>
      </c>
      <c r="F47" s="16">
        <f t="shared" ref="F47:F63" si="7">E47*C47</f>
        <v>29400</v>
      </c>
    </row>
    <row r="48" spans="1:6" ht="15" customHeight="1" x14ac:dyDescent="0.2">
      <c r="A48" s="177">
        <v>4.2</v>
      </c>
      <c r="B48" s="61" t="s">
        <v>72</v>
      </c>
      <c r="C48" s="15">
        <v>2</v>
      </c>
      <c r="D48" s="14" t="s">
        <v>14</v>
      </c>
      <c r="E48" s="53">
        <v>1650</v>
      </c>
      <c r="F48" s="16">
        <f t="shared" si="7"/>
        <v>3300</v>
      </c>
    </row>
    <row r="49" spans="1:6" ht="15" customHeight="1" x14ac:dyDescent="0.25">
      <c r="A49" s="177">
        <v>4.3</v>
      </c>
      <c r="B49" s="62" t="s">
        <v>73</v>
      </c>
      <c r="C49" s="15"/>
      <c r="D49" s="14"/>
      <c r="E49" s="53"/>
      <c r="F49" s="16"/>
    </row>
    <row r="50" spans="1:6" ht="15" customHeight="1" x14ac:dyDescent="0.2">
      <c r="A50" s="178" t="s">
        <v>74</v>
      </c>
      <c r="B50" s="61" t="s">
        <v>75</v>
      </c>
      <c r="C50" s="15">
        <v>0</v>
      </c>
      <c r="D50" s="14" t="s">
        <v>14</v>
      </c>
      <c r="E50" s="53">
        <v>4200</v>
      </c>
      <c r="F50" s="16">
        <f t="shared" si="7"/>
        <v>0</v>
      </c>
    </row>
    <row r="51" spans="1:6" ht="14.25" x14ac:dyDescent="0.2">
      <c r="A51" s="178" t="s">
        <v>76</v>
      </c>
      <c r="B51" s="61" t="s">
        <v>77</v>
      </c>
      <c r="C51" s="15">
        <v>0</v>
      </c>
      <c r="D51" s="14" t="s">
        <v>14</v>
      </c>
      <c r="E51" s="53">
        <v>5300</v>
      </c>
      <c r="F51" s="16">
        <f t="shared" si="7"/>
        <v>0</v>
      </c>
    </row>
    <row r="52" spans="1:6" ht="15" customHeight="1" x14ac:dyDescent="0.25">
      <c r="A52" s="177">
        <v>4.4000000000000004</v>
      </c>
      <c r="B52" s="62" t="s">
        <v>78</v>
      </c>
      <c r="C52" s="15"/>
      <c r="D52" s="14"/>
      <c r="E52" s="53"/>
      <c r="F52" s="16"/>
    </row>
    <row r="53" spans="1:6" ht="15" customHeight="1" x14ac:dyDescent="0.2">
      <c r="A53" s="178" t="s">
        <v>79</v>
      </c>
      <c r="B53" s="61" t="s">
        <v>80</v>
      </c>
      <c r="C53" s="15">
        <v>24</v>
      </c>
      <c r="D53" s="14" t="s">
        <v>51</v>
      </c>
      <c r="E53" s="53">
        <v>325</v>
      </c>
      <c r="F53" s="16">
        <f t="shared" si="7"/>
        <v>7800</v>
      </c>
    </row>
    <row r="54" spans="1:6" ht="15" customHeight="1" x14ac:dyDescent="0.2">
      <c r="A54" s="178" t="s">
        <v>81</v>
      </c>
      <c r="B54" s="61" t="s">
        <v>82</v>
      </c>
      <c r="C54" s="15">
        <v>50</v>
      </c>
      <c r="D54" s="14" t="s">
        <v>51</v>
      </c>
      <c r="E54" s="53">
        <v>480</v>
      </c>
      <c r="F54" s="16">
        <f t="shared" si="7"/>
        <v>24000</v>
      </c>
    </row>
    <row r="55" spans="1:6" ht="15" customHeight="1" x14ac:dyDescent="0.2">
      <c r="A55" s="178" t="s">
        <v>83</v>
      </c>
      <c r="B55" s="61" t="s">
        <v>84</v>
      </c>
      <c r="C55" s="15">
        <v>0</v>
      </c>
      <c r="D55" s="14" t="s">
        <v>51</v>
      </c>
      <c r="E55" s="53">
        <v>600</v>
      </c>
      <c r="F55" s="16">
        <f t="shared" si="7"/>
        <v>0</v>
      </c>
    </row>
    <row r="56" spans="1:6" ht="15" customHeight="1" x14ac:dyDescent="0.2">
      <c r="A56" s="178" t="s">
        <v>85</v>
      </c>
      <c r="B56" s="61" t="s">
        <v>86</v>
      </c>
      <c r="C56" s="15">
        <v>220</v>
      </c>
      <c r="D56" s="14" t="s">
        <v>51</v>
      </c>
      <c r="E56" s="53">
        <v>750</v>
      </c>
      <c r="F56" s="16">
        <f t="shared" si="7"/>
        <v>165000</v>
      </c>
    </row>
    <row r="57" spans="1:6" ht="15" customHeight="1" x14ac:dyDescent="0.25">
      <c r="A57" s="177">
        <v>4.5</v>
      </c>
      <c r="B57" s="62" t="s">
        <v>87</v>
      </c>
      <c r="C57" s="15"/>
      <c r="D57" s="14"/>
      <c r="E57" s="53"/>
      <c r="F57" s="16"/>
    </row>
    <row r="58" spans="1:6" ht="15" customHeight="1" x14ac:dyDescent="0.2">
      <c r="A58" s="178" t="s">
        <v>88</v>
      </c>
      <c r="B58" s="61" t="s">
        <v>89</v>
      </c>
      <c r="C58" s="15">
        <v>0</v>
      </c>
      <c r="D58" s="14" t="s">
        <v>14</v>
      </c>
      <c r="E58" s="53">
        <v>3800</v>
      </c>
      <c r="F58" s="16">
        <f t="shared" ref="F58" si="8">E58*C58</f>
        <v>0</v>
      </c>
    </row>
    <row r="59" spans="1:6" ht="15" customHeight="1" x14ac:dyDescent="0.2">
      <c r="A59" s="177">
        <v>4.5999999999999996</v>
      </c>
      <c r="B59" s="127" t="s">
        <v>90</v>
      </c>
      <c r="C59" s="15">
        <f>C33+C35</f>
        <v>860</v>
      </c>
      <c r="D59" s="128" t="s">
        <v>51</v>
      </c>
      <c r="E59" s="53">
        <v>25</v>
      </c>
      <c r="F59" s="16">
        <f t="shared" si="7"/>
        <v>21500</v>
      </c>
    </row>
    <row r="60" spans="1:6" ht="15" customHeight="1" x14ac:dyDescent="0.2">
      <c r="A60" s="177">
        <v>4.7</v>
      </c>
      <c r="B60" s="127" t="s">
        <v>91</v>
      </c>
      <c r="C60" s="15">
        <v>4</v>
      </c>
      <c r="D60" s="128" t="s">
        <v>92</v>
      </c>
      <c r="E60" s="53">
        <v>400</v>
      </c>
      <c r="F60" s="16">
        <f t="shared" si="7"/>
        <v>1600</v>
      </c>
    </row>
    <row r="61" spans="1:6" ht="15" customHeight="1" x14ac:dyDescent="0.25">
      <c r="A61" s="165">
        <v>5</v>
      </c>
      <c r="B61" s="70" t="s">
        <v>93</v>
      </c>
      <c r="C61" s="71"/>
      <c r="D61" s="72"/>
      <c r="E61" s="73"/>
      <c r="F61" s="74">
        <f>SUM(F62:F63)</f>
        <v>0</v>
      </c>
    </row>
    <row r="62" spans="1:6" ht="15" customHeight="1" x14ac:dyDescent="0.2">
      <c r="A62" s="177">
        <v>5.0999999999999996</v>
      </c>
      <c r="B62" s="61" t="s">
        <v>94</v>
      </c>
      <c r="C62" s="167">
        <v>0</v>
      </c>
      <c r="D62" s="14" t="s">
        <v>14</v>
      </c>
      <c r="E62" s="53">
        <v>280000</v>
      </c>
      <c r="F62" s="16">
        <f t="shared" si="7"/>
        <v>0</v>
      </c>
    </row>
    <row r="63" spans="1:6" ht="15" customHeight="1" x14ac:dyDescent="0.2">
      <c r="A63" s="177">
        <v>5.2</v>
      </c>
      <c r="B63" s="61" t="s">
        <v>95</v>
      </c>
      <c r="C63" s="167">
        <v>0</v>
      </c>
      <c r="D63" s="14" t="s">
        <v>14</v>
      </c>
      <c r="E63" s="53"/>
      <c r="F63" s="16">
        <f t="shared" si="7"/>
        <v>0</v>
      </c>
    </row>
    <row r="64" spans="1:6" ht="15" customHeight="1" x14ac:dyDescent="0.25">
      <c r="A64" s="165">
        <v>6</v>
      </c>
      <c r="B64" s="70" t="s">
        <v>96</v>
      </c>
      <c r="C64" s="71"/>
      <c r="D64" s="72"/>
      <c r="E64" s="79"/>
      <c r="F64" s="74">
        <f>SUM(F65:F67)</f>
        <v>91045</v>
      </c>
    </row>
    <row r="65" spans="1:6" ht="15" customHeight="1" x14ac:dyDescent="0.2">
      <c r="A65" s="177">
        <v>6.1</v>
      </c>
      <c r="B65" s="61" t="s">
        <v>97</v>
      </c>
      <c r="C65" s="15">
        <v>22</v>
      </c>
      <c r="D65" s="14" t="s">
        <v>14</v>
      </c>
      <c r="E65" s="53">
        <v>50</v>
      </c>
      <c r="F65" s="16">
        <f t="shared" ref="F65:F67" si="9">E65*C65</f>
        <v>1100</v>
      </c>
    </row>
    <row r="66" spans="1:6" ht="15" customHeight="1" x14ac:dyDescent="0.2">
      <c r="A66" s="177">
        <v>6.2</v>
      </c>
      <c r="B66" s="61" t="s">
        <v>98</v>
      </c>
      <c r="C66" s="15">
        <f>25*5</f>
        <v>125</v>
      </c>
      <c r="D66" s="14" t="s">
        <v>11</v>
      </c>
      <c r="E66" s="53">
        <v>60</v>
      </c>
      <c r="F66" s="16">
        <f t="shared" si="9"/>
        <v>7500</v>
      </c>
    </row>
    <row r="67" spans="1:6" ht="15" customHeight="1" x14ac:dyDescent="0.2">
      <c r="A67" s="177">
        <v>6.3</v>
      </c>
      <c r="B67" s="61" t="s">
        <v>99</v>
      </c>
      <c r="C67" s="15">
        <f>ROUNDUP(5.5*25+5.5*25+200+40*3.5*40*5.5+100+80+40*5.5+25*3.2+15*5.5+30*9+87*5+87*5,0)</f>
        <v>32978</v>
      </c>
      <c r="D67" s="14" t="s">
        <v>11</v>
      </c>
      <c r="E67" s="53">
        <v>2.5</v>
      </c>
      <c r="F67" s="16">
        <f t="shared" si="9"/>
        <v>82445</v>
      </c>
    </row>
    <row r="68" spans="1:6" ht="15" customHeight="1" x14ac:dyDescent="0.25">
      <c r="A68" s="165">
        <v>7</v>
      </c>
      <c r="B68" s="70" t="s">
        <v>100</v>
      </c>
      <c r="C68" s="71"/>
      <c r="D68" s="72"/>
      <c r="E68" s="73"/>
      <c r="F68" s="74">
        <f>SUM(F69:F72)</f>
        <v>114080</v>
      </c>
    </row>
    <row r="69" spans="1:6" ht="15" customHeight="1" x14ac:dyDescent="0.2">
      <c r="A69" s="177">
        <v>7.1</v>
      </c>
      <c r="B69" s="61" t="s">
        <v>101</v>
      </c>
      <c r="C69" s="15">
        <v>0</v>
      </c>
      <c r="D69" s="14" t="s">
        <v>14</v>
      </c>
      <c r="E69" s="53">
        <v>100000</v>
      </c>
      <c r="F69" s="16">
        <f t="shared" ref="F69:F71" si="10">E69*C69</f>
        <v>0</v>
      </c>
    </row>
    <row r="70" spans="1:6" ht="15" customHeight="1" x14ac:dyDescent="0.2">
      <c r="A70" s="177">
        <v>7.2</v>
      </c>
      <c r="B70" s="61" t="s">
        <v>102</v>
      </c>
      <c r="C70" s="15">
        <v>1</v>
      </c>
      <c r="D70" s="14" t="s">
        <v>14</v>
      </c>
      <c r="E70" s="53">
        <v>80000</v>
      </c>
      <c r="F70" s="16">
        <f t="shared" si="10"/>
        <v>80000</v>
      </c>
    </row>
    <row r="71" spans="1:6" ht="15" customHeight="1" x14ac:dyDescent="0.2">
      <c r="A71" s="177">
        <v>7.3</v>
      </c>
      <c r="B71" s="61" t="s">
        <v>103</v>
      </c>
      <c r="C71" s="15">
        <v>120</v>
      </c>
      <c r="D71" s="14" t="s">
        <v>51</v>
      </c>
      <c r="E71" s="53">
        <v>160</v>
      </c>
      <c r="F71" s="16">
        <f t="shared" si="10"/>
        <v>19200</v>
      </c>
    </row>
    <row r="72" spans="1:6" ht="15" customHeight="1" x14ac:dyDescent="0.2">
      <c r="A72" s="177">
        <v>7.4</v>
      </c>
      <c r="B72" s="61" t="s">
        <v>104</v>
      </c>
      <c r="C72" s="15">
        <v>15</v>
      </c>
      <c r="D72" s="14" t="s">
        <v>105</v>
      </c>
      <c r="E72" s="53">
        <f>SUM(F69:F71)</f>
        <v>99200</v>
      </c>
      <c r="F72" s="16">
        <f>E72*C72/100</f>
        <v>14880</v>
      </c>
    </row>
    <row r="73" spans="1:6" ht="15" customHeight="1" x14ac:dyDescent="0.25">
      <c r="A73" s="165">
        <v>8</v>
      </c>
      <c r="B73" s="70" t="s">
        <v>106</v>
      </c>
      <c r="C73" s="71"/>
      <c r="D73" s="72"/>
      <c r="E73" s="73"/>
      <c r="F73" s="74">
        <f>SUM(F74:F79)</f>
        <v>63247.728999999999</v>
      </c>
    </row>
    <row r="74" spans="1:6" ht="15" customHeight="1" x14ac:dyDescent="0.2">
      <c r="A74" s="177">
        <v>8.1</v>
      </c>
      <c r="B74" s="61" t="s">
        <v>107</v>
      </c>
      <c r="C74" s="15">
        <v>1</v>
      </c>
      <c r="D74" s="14" t="s">
        <v>14</v>
      </c>
      <c r="E74" s="53">
        <v>12000</v>
      </c>
      <c r="F74" s="16">
        <f t="shared" ref="F74:F76" si="11">C74*E74</f>
        <v>12000</v>
      </c>
    </row>
    <row r="75" spans="1:6" ht="15" customHeight="1" x14ac:dyDescent="0.2">
      <c r="A75" s="177">
        <v>8.1999999999999993</v>
      </c>
      <c r="B75" s="61" t="s">
        <v>108</v>
      </c>
      <c r="C75" s="15">
        <v>44</v>
      </c>
      <c r="D75" s="14" t="s">
        <v>14</v>
      </c>
      <c r="E75" s="53">
        <v>280</v>
      </c>
      <c r="F75" s="16">
        <f t="shared" si="11"/>
        <v>12320</v>
      </c>
    </row>
    <row r="76" spans="1:6" ht="15" customHeight="1" x14ac:dyDescent="0.2">
      <c r="A76" s="177">
        <v>8.3000000000000007</v>
      </c>
      <c r="B76" s="61" t="s">
        <v>109</v>
      </c>
      <c r="C76" s="15">
        <v>1</v>
      </c>
      <c r="D76" s="14" t="s">
        <v>14</v>
      </c>
      <c r="E76" s="53">
        <f>0.015*(F46+F31+F12)</f>
        <v>13862.978999999999</v>
      </c>
      <c r="F76" s="16">
        <f t="shared" si="11"/>
        <v>13862.978999999999</v>
      </c>
    </row>
    <row r="77" spans="1:6" ht="15" customHeight="1" x14ac:dyDescent="0.2">
      <c r="A77" s="177">
        <v>8.4</v>
      </c>
      <c r="B77" s="61" t="s">
        <v>110</v>
      </c>
      <c r="C77" s="15">
        <v>1</v>
      </c>
      <c r="D77" s="14" t="s">
        <v>14</v>
      </c>
      <c r="E77" s="53">
        <f>0.15*F64</f>
        <v>13656.75</v>
      </c>
      <c r="F77" s="16">
        <f>C77*E77</f>
        <v>13656.75</v>
      </c>
    </row>
    <row r="78" spans="1:6" ht="15" customHeight="1" x14ac:dyDescent="0.2">
      <c r="A78" s="177">
        <v>8.5</v>
      </c>
      <c r="B78" s="61" t="s">
        <v>111</v>
      </c>
      <c r="C78" s="15">
        <v>10</v>
      </c>
      <c r="D78" s="14" t="s">
        <v>112</v>
      </c>
      <c r="E78" s="53">
        <f>F62*0.015</f>
        <v>0</v>
      </c>
      <c r="F78" s="16">
        <f>C78*E78</f>
        <v>0</v>
      </c>
    </row>
    <row r="79" spans="1:6" ht="15" customHeight="1" x14ac:dyDescent="0.2">
      <c r="A79" s="177">
        <v>8.6</v>
      </c>
      <c r="B79" s="61" t="s">
        <v>113</v>
      </c>
      <c r="C79" s="15">
        <v>1</v>
      </c>
      <c r="D79" s="14" t="s">
        <v>14</v>
      </c>
      <c r="E79" s="53">
        <f>0.1*F68</f>
        <v>11408</v>
      </c>
      <c r="F79" s="16">
        <f>C79*E79</f>
        <v>11408</v>
      </c>
    </row>
    <row r="80" spans="1:6" ht="15" customHeight="1" x14ac:dyDescent="0.25">
      <c r="A80" s="165">
        <v>9</v>
      </c>
      <c r="B80" s="70" t="s">
        <v>114</v>
      </c>
      <c r="C80" s="71"/>
      <c r="D80" s="72"/>
      <c r="E80" s="73"/>
      <c r="F80" s="74">
        <f>SUM(F81:F83)</f>
        <v>0</v>
      </c>
    </row>
    <row r="84" spans="1:6" ht="15" customHeight="1" x14ac:dyDescent="0.25">
      <c r="A84" s="92"/>
      <c r="B84" s="160" t="s">
        <v>115</v>
      </c>
      <c r="C84" s="75"/>
      <c r="D84" s="76"/>
      <c r="E84" s="83"/>
      <c r="F84" s="181">
        <f>SUM(F5,F12,F31,F46,F61,F64,F68,F73,F80)</f>
        <v>1326890.6174999999</v>
      </c>
    </row>
    <row r="85" spans="1:6" ht="15" customHeight="1" x14ac:dyDescent="0.25">
      <c r="A85" s="165">
        <v>10</v>
      </c>
      <c r="B85" s="70" t="s">
        <v>116</v>
      </c>
      <c r="C85" s="71"/>
      <c r="D85" s="72"/>
      <c r="E85" s="73"/>
      <c r="F85" s="74"/>
    </row>
    <row r="86" spans="1:6" ht="15" customHeight="1" x14ac:dyDescent="0.2">
      <c r="A86" s="177">
        <v>10.1</v>
      </c>
      <c r="B86" s="61" t="s">
        <v>117</v>
      </c>
      <c r="C86" s="166">
        <v>3.25</v>
      </c>
      <c r="D86" s="14" t="s">
        <v>105</v>
      </c>
      <c r="E86" s="175"/>
      <c r="F86" s="176">
        <f>C86%*F$84</f>
        <v>43123.945068749999</v>
      </c>
    </row>
    <row r="87" spans="1:6" ht="15" customHeight="1" x14ac:dyDescent="0.2">
      <c r="A87" s="177">
        <v>10.199999999999999</v>
      </c>
      <c r="B87" s="61" t="s">
        <v>118</v>
      </c>
      <c r="C87" s="166">
        <v>1</v>
      </c>
      <c r="D87" s="14" t="s">
        <v>105</v>
      </c>
      <c r="E87" s="175"/>
      <c r="F87" s="176">
        <f t="shared" ref="F87:F93" si="12">C87%*F$84</f>
        <v>13268.906175</v>
      </c>
    </row>
    <row r="88" spans="1:6" ht="15" customHeight="1" x14ac:dyDescent="0.2">
      <c r="A88" s="177">
        <v>10.3</v>
      </c>
      <c r="B88" s="61" t="s">
        <v>119</v>
      </c>
      <c r="C88" s="166">
        <v>5</v>
      </c>
      <c r="D88" s="14" t="s">
        <v>105</v>
      </c>
      <c r="E88" s="175"/>
      <c r="F88" s="176">
        <f t="shared" si="12"/>
        <v>66344.530874999997</v>
      </c>
    </row>
    <row r="89" spans="1:6" ht="15" customHeight="1" x14ac:dyDescent="0.2">
      <c r="A89" s="177">
        <v>10.4</v>
      </c>
      <c r="B89" s="61" t="s">
        <v>120</v>
      </c>
      <c r="C89" s="166">
        <v>0.5</v>
      </c>
      <c r="D89" s="14" t="s">
        <v>105</v>
      </c>
      <c r="E89" s="175"/>
      <c r="F89" s="176">
        <f t="shared" si="12"/>
        <v>6634.4530875</v>
      </c>
    </row>
    <row r="90" spans="1:6" ht="15" customHeight="1" x14ac:dyDescent="0.2">
      <c r="A90" s="177">
        <v>10.5</v>
      </c>
      <c r="B90" s="61" t="s">
        <v>121</v>
      </c>
      <c r="C90" s="166">
        <v>5</v>
      </c>
      <c r="D90" s="14" t="s">
        <v>105</v>
      </c>
      <c r="E90" s="175"/>
      <c r="F90" s="176">
        <f t="shared" si="12"/>
        <v>66344.530874999997</v>
      </c>
    </row>
    <row r="91" spans="1:6" ht="15" customHeight="1" x14ac:dyDescent="0.2">
      <c r="A91" s="177">
        <v>10.6</v>
      </c>
      <c r="B91" s="61" t="s">
        <v>122</v>
      </c>
      <c r="C91" s="166">
        <v>9</v>
      </c>
      <c r="D91" s="14" t="s">
        <v>105</v>
      </c>
      <c r="E91" s="175"/>
      <c r="F91" s="176">
        <f t="shared" si="12"/>
        <v>119420.15557499998</v>
      </c>
    </row>
    <row r="92" spans="1:6" ht="15" customHeight="1" x14ac:dyDescent="0.2">
      <c r="A92" s="177">
        <v>10.7</v>
      </c>
      <c r="B92" s="61" t="s">
        <v>123</v>
      </c>
      <c r="C92" s="166">
        <v>2.5</v>
      </c>
      <c r="D92" s="14" t="s">
        <v>105</v>
      </c>
      <c r="E92" s="175"/>
      <c r="F92" s="176">
        <f t="shared" si="12"/>
        <v>33172.265437499998</v>
      </c>
    </row>
    <row r="93" spans="1:6" ht="15" customHeight="1" x14ac:dyDescent="0.2">
      <c r="A93" s="177">
        <v>10.8</v>
      </c>
      <c r="B93" s="61" t="s">
        <v>124</v>
      </c>
      <c r="C93" s="166">
        <v>15</v>
      </c>
      <c r="D93" s="14" t="s">
        <v>105</v>
      </c>
      <c r="E93" s="175"/>
      <c r="F93" s="176">
        <f t="shared" si="12"/>
        <v>199033.59262499999</v>
      </c>
    </row>
    <row r="94" spans="1:6" ht="15" customHeight="1" x14ac:dyDescent="0.25">
      <c r="A94" s="92"/>
      <c r="B94" s="160" t="s">
        <v>125</v>
      </c>
      <c r="C94" s="75"/>
      <c r="D94" s="76"/>
      <c r="E94" s="83"/>
      <c r="F94" s="181">
        <f>SUM(F84:F93)</f>
        <v>1874232.99721875</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
  <dimension ref="A56"/>
  <sheetViews>
    <sheetView zoomScaleNormal="100" zoomScalePageLayoutView="130" workbookViewId="0"/>
  </sheetViews>
  <sheetFormatPr defaultColWidth="9.140625" defaultRowHeight="15" customHeight="1" x14ac:dyDescent="0.2"/>
  <cols>
    <col min="1" max="16384" width="9.140625" style="85"/>
  </cols>
  <sheetData>
    <row r="56" ht="12.75" x14ac:dyDescent="0.2"/>
  </sheetData>
  <pageMargins left="0.59055118110236227" right="0.59055118110236227" top="0.9055118110236221" bottom="0.74803149606299213" header="0.31496062992125984" footer="0.31496062992125984"/>
  <pageSetup paperSize="9" scale="78" fitToHeight="0" orientation="portrait" r:id="rId1"/>
  <headerFooter scaleWithDoc="0">
    <oddHeader>&amp;L&amp;A&amp;R&amp;G</oddHeader>
    <oddFooter>&amp;L&amp;"Arial,Regular"&amp;9&amp;Z&amp;F
&amp;D&amp;R&amp;"Arial,Regular"&amp;9Page &amp;P</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
  <dimension ref="A56"/>
  <sheetViews>
    <sheetView zoomScaleNormal="100" zoomScalePageLayoutView="130" workbookViewId="0"/>
  </sheetViews>
  <sheetFormatPr defaultColWidth="9.140625" defaultRowHeight="15" customHeight="1" x14ac:dyDescent="0.2"/>
  <cols>
    <col min="1" max="16384" width="9.140625" style="85"/>
  </cols>
  <sheetData>
    <row r="56" ht="12.75" x14ac:dyDescent="0.2"/>
  </sheetData>
  <pageMargins left="0.59055118110236227" right="0.59055118110236227" top="0.9055118110236221" bottom="0.74803149606299213" header="0.31496062992125984" footer="0.31496062992125984"/>
  <pageSetup paperSize="9" scale="78" fitToHeight="0" orientation="portrait" r:id="rId1"/>
  <headerFooter scaleWithDoc="0">
    <oddHeader>&amp;L&amp;A&amp;R&amp;G</oddHeader>
    <oddFooter>&amp;L&amp;"Arial,Regular"&amp;9&amp;Z&amp;F
&amp;D&amp;R&amp;"Arial,Regular"&amp;9Page &amp;P</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F94"/>
  <sheetViews>
    <sheetView topLeftCell="A33" workbookViewId="0">
      <selection activeCell="F1" sqref="F1"/>
    </sheetView>
  </sheetViews>
  <sheetFormatPr defaultColWidth="9.140625" defaultRowHeight="15" customHeight="1" x14ac:dyDescent="0.2"/>
  <cols>
    <col min="1" max="1" width="12.7109375" style="162" customWidth="1"/>
    <col min="2" max="2" width="50.7109375" style="162" customWidth="1"/>
    <col min="3" max="4" width="12.7109375" style="162" customWidth="1"/>
    <col min="5" max="6" width="15.7109375" style="162" customWidth="1"/>
    <col min="7" max="16384" width="9.140625" style="162"/>
  </cols>
  <sheetData>
    <row r="1" spans="1:6" ht="15" customHeight="1" x14ac:dyDescent="0.25">
      <c r="A1" s="1" t="s">
        <v>0</v>
      </c>
      <c r="F1" s="161">
        <v>43544</v>
      </c>
    </row>
    <row r="2" spans="1:6" ht="15" customHeight="1" x14ac:dyDescent="0.25">
      <c r="A2" s="1" t="s">
        <v>128</v>
      </c>
    </row>
    <row r="4" spans="1:6" ht="30" x14ac:dyDescent="0.2">
      <c r="A4" s="182" t="s">
        <v>2</v>
      </c>
      <c r="B4" s="182" t="s">
        <v>3</v>
      </c>
      <c r="C4" s="182" t="s">
        <v>4</v>
      </c>
      <c r="D4" s="182" t="s">
        <v>5</v>
      </c>
      <c r="E4" s="183" t="s">
        <v>6</v>
      </c>
      <c r="F4" s="183" t="s">
        <v>7</v>
      </c>
    </row>
    <row r="5" spans="1:6" ht="15" customHeight="1" x14ac:dyDescent="0.25">
      <c r="A5" s="165">
        <v>1</v>
      </c>
      <c r="B5" s="70" t="s">
        <v>8</v>
      </c>
      <c r="C5" s="71"/>
      <c r="D5" s="72"/>
      <c r="E5" s="79"/>
      <c r="F5" s="74">
        <f>SUM(F6:F11)</f>
        <v>107571.2415</v>
      </c>
    </row>
    <row r="6" spans="1:6" ht="15" customHeight="1" x14ac:dyDescent="0.2">
      <c r="A6" s="177">
        <v>1.1000000000000001</v>
      </c>
      <c r="B6" s="127" t="s">
        <v>9</v>
      </c>
      <c r="C6" s="167">
        <f>C7</f>
        <v>2828.6</v>
      </c>
      <c r="D6" s="173" t="s">
        <v>11</v>
      </c>
      <c r="E6" s="174">
        <v>5</v>
      </c>
      <c r="F6" s="170">
        <f t="shared" ref="F6:F11" si="0">C6*E6</f>
        <v>14143</v>
      </c>
    </row>
    <row r="7" spans="1:6" ht="15" customHeight="1" x14ac:dyDescent="0.2">
      <c r="A7" s="177">
        <v>1.2</v>
      </c>
      <c r="B7" s="127" t="s">
        <v>12</v>
      </c>
      <c r="C7" s="167">
        <f>ROUNDUP(C33/2*5,0)+C43+C40+(C14+C20+C26)*0.2</f>
        <v>2828.6</v>
      </c>
      <c r="D7" s="173" t="s">
        <v>11</v>
      </c>
      <c r="E7" s="174">
        <v>7</v>
      </c>
      <c r="F7" s="170">
        <f t="shared" si="0"/>
        <v>19800.2</v>
      </c>
    </row>
    <row r="8" spans="1:6" ht="15" customHeight="1" x14ac:dyDescent="0.2">
      <c r="A8" s="177">
        <v>1.3</v>
      </c>
      <c r="B8" s="127" t="s">
        <v>13</v>
      </c>
      <c r="C8" s="167">
        <v>1</v>
      </c>
      <c r="D8" s="173" t="s">
        <v>14</v>
      </c>
      <c r="E8" s="174">
        <v>10000</v>
      </c>
      <c r="F8" s="170">
        <f t="shared" si="0"/>
        <v>10000</v>
      </c>
    </row>
    <row r="9" spans="1:6" ht="15" customHeight="1" x14ac:dyDescent="0.2">
      <c r="A9" s="177">
        <v>1.4</v>
      </c>
      <c r="B9" s="127" t="s">
        <v>15</v>
      </c>
      <c r="C9" s="167">
        <v>1</v>
      </c>
      <c r="D9" s="173" t="s">
        <v>14</v>
      </c>
      <c r="E9" s="174">
        <v>3200</v>
      </c>
      <c r="F9" s="170">
        <f t="shared" si="0"/>
        <v>3200</v>
      </c>
    </row>
    <row r="10" spans="1:6" ht="15" customHeight="1" x14ac:dyDescent="0.2">
      <c r="A10" s="177">
        <v>1.5</v>
      </c>
      <c r="B10" s="127" t="s">
        <v>16</v>
      </c>
      <c r="C10" s="167">
        <f>(C16*0.4+C37*0.25+C43*0.175+C17*0.3)*0.6</f>
        <v>910.97550000000001</v>
      </c>
      <c r="D10" s="173" t="s">
        <v>17</v>
      </c>
      <c r="E10" s="174">
        <v>45</v>
      </c>
      <c r="F10" s="170">
        <f t="shared" si="0"/>
        <v>40993.897499999999</v>
      </c>
    </row>
    <row r="11" spans="1:6" ht="15" customHeight="1" x14ac:dyDescent="0.2">
      <c r="A11" s="177">
        <v>1.6</v>
      </c>
      <c r="B11" s="127" t="s">
        <v>18</v>
      </c>
      <c r="C11" s="167">
        <f>(C16*0.4+C37*0.25+C43*0.175+C17*0.3)*0.4</f>
        <v>607.31700000000001</v>
      </c>
      <c r="D11" s="173" t="s">
        <v>17</v>
      </c>
      <c r="E11" s="174">
        <v>32</v>
      </c>
      <c r="F11" s="170">
        <f t="shared" si="0"/>
        <v>19434.144</v>
      </c>
    </row>
    <row r="12" spans="1:6" ht="15" customHeight="1" x14ac:dyDescent="0.25">
      <c r="A12" s="165">
        <v>2</v>
      </c>
      <c r="B12" s="70" t="s">
        <v>19</v>
      </c>
      <c r="C12" s="71"/>
      <c r="D12" s="72"/>
      <c r="E12" s="79"/>
      <c r="F12" s="74">
        <f>SUM(F14:F30)</f>
        <v>342609.4</v>
      </c>
    </row>
    <row r="13" spans="1:6" ht="15" customHeight="1" x14ac:dyDescent="0.25">
      <c r="A13" s="163">
        <v>2.1</v>
      </c>
      <c r="B13" s="62" t="s">
        <v>20</v>
      </c>
      <c r="C13" s="167"/>
      <c r="D13" s="168"/>
      <c r="E13" s="172"/>
      <c r="F13" s="170"/>
    </row>
    <row r="14" spans="1:6" ht="15" customHeight="1" x14ac:dyDescent="0.2">
      <c r="A14" s="164" t="s">
        <v>21</v>
      </c>
      <c r="B14" s="127" t="s">
        <v>22</v>
      </c>
      <c r="C14" s="167">
        <f>521+150+140+15+218+205+8+140+131+4+139+145+40+602</f>
        <v>2458</v>
      </c>
      <c r="D14" s="173" t="s">
        <v>11</v>
      </c>
      <c r="E14" s="174">
        <v>27</v>
      </c>
      <c r="F14" s="170">
        <f t="shared" ref="F14:F18" si="1">C14*E14</f>
        <v>66366</v>
      </c>
    </row>
    <row r="15" spans="1:6" ht="15" customHeight="1" x14ac:dyDescent="0.2">
      <c r="A15" s="164" t="s">
        <v>23</v>
      </c>
      <c r="B15" s="127" t="s">
        <v>24</v>
      </c>
      <c r="C15" s="167">
        <f>C14</f>
        <v>2458</v>
      </c>
      <c r="D15" s="173" t="s">
        <v>11</v>
      </c>
      <c r="E15" s="174">
        <f>ROUNDUP(32*100/75,0)</f>
        <v>43</v>
      </c>
      <c r="F15" s="170">
        <f t="shared" si="1"/>
        <v>105694</v>
      </c>
    </row>
    <row r="16" spans="1:6" ht="15" customHeight="1" x14ac:dyDescent="0.2">
      <c r="A16" s="164" t="s">
        <v>25</v>
      </c>
      <c r="B16" s="127" t="s">
        <v>26</v>
      </c>
      <c r="C16" s="167">
        <f>C15+(C35*0.45)+(C33*0.75)</f>
        <v>2900.5</v>
      </c>
      <c r="D16" s="173" t="s">
        <v>11</v>
      </c>
      <c r="E16" s="174">
        <f>ROUNDUP(18*260/110,0)</f>
        <v>43</v>
      </c>
      <c r="F16" s="170">
        <f t="shared" si="1"/>
        <v>124721.5</v>
      </c>
    </row>
    <row r="17" spans="1:6" ht="15" customHeight="1" x14ac:dyDescent="0.2">
      <c r="A17" s="164" t="s">
        <v>27</v>
      </c>
      <c r="B17" s="127" t="s">
        <v>28</v>
      </c>
      <c r="C17" s="167">
        <f>C16*0.2</f>
        <v>580.1</v>
      </c>
      <c r="D17" s="173" t="s">
        <v>11</v>
      </c>
      <c r="E17" s="174">
        <v>24</v>
      </c>
      <c r="F17" s="170">
        <f t="shared" si="1"/>
        <v>13922.400000000001</v>
      </c>
    </row>
    <row r="18" spans="1:6" ht="15" customHeight="1" x14ac:dyDescent="0.2">
      <c r="A18" s="164" t="s">
        <v>29</v>
      </c>
      <c r="B18" s="127" t="s">
        <v>30</v>
      </c>
      <c r="C18" s="167">
        <f>C16*0.1</f>
        <v>290.05</v>
      </c>
      <c r="D18" s="173" t="s">
        <v>11</v>
      </c>
      <c r="E18" s="174">
        <v>110</v>
      </c>
      <c r="F18" s="170">
        <f t="shared" si="1"/>
        <v>31905.5</v>
      </c>
    </row>
    <row r="19" spans="1:6" ht="15" customHeight="1" x14ac:dyDescent="0.25">
      <c r="A19" s="163">
        <v>2.2000000000000002</v>
      </c>
      <c r="B19" s="62" t="s">
        <v>31</v>
      </c>
      <c r="C19" s="167"/>
      <c r="D19" s="168"/>
      <c r="E19" s="172"/>
      <c r="F19" s="170"/>
    </row>
    <row r="20" spans="1:6" ht="15" customHeight="1" x14ac:dyDescent="0.2">
      <c r="A20" s="164" t="s">
        <v>32</v>
      </c>
      <c r="B20" s="127" t="s">
        <v>22</v>
      </c>
      <c r="C20" s="167">
        <v>0</v>
      </c>
      <c r="D20" s="173" t="s">
        <v>11</v>
      </c>
      <c r="E20" s="174">
        <v>27</v>
      </c>
      <c r="F20" s="170">
        <f t="shared" ref="F20:F24" si="2">C20*E20</f>
        <v>0</v>
      </c>
    </row>
    <row r="21" spans="1:6" ht="15" customHeight="1" x14ac:dyDescent="0.2">
      <c r="A21" s="164" t="s">
        <v>33</v>
      </c>
      <c r="B21" s="127" t="s">
        <v>34</v>
      </c>
      <c r="C21" s="167">
        <f>C20</f>
        <v>0</v>
      </c>
      <c r="D21" s="173" t="s">
        <v>11</v>
      </c>
      <c r="E21" s="174">
        <f>ROUNDUP(32*150/75,0)</f>
        <v>64</v>
      </c>
      <c r="F21" s="170">
        <f t="shared" si="2"/>
        <v>0</v>
      </c>
    </row>
    <row r="22" spans="1:6" ht="15" customHeight="1" x14ac:dyDescent="0.2">
      <c r="A22" s="164" t="s">
        <v>35</v>
      </c>
      <c r="B22" s="127" t="s">
        <v>36</v>
      </c>
      <c r="C22" s="167">
        <v>0</v>
      </c>
      <c r="D22" s="173" t="s">
        <v>11</v>
      </c>
      <c r="E22" s="174">
        <f>ROUNDUP(18*300/110,0)</f>
        <v>50</v>
      </c>
      <c r="F22" s="170">
        <f t="shared" si="2"/>
        <v>0</v>
      </c>
    </row>
    <row r="23" spans="1:6" ht="15" customHeight="1" x14ac:dyDescent="0.2">
      <c r="A23" s="164" t="s">
        <v>37</v>
      </c>
      <c r="B23" s="127" t="s">
        <v>28</v>
      </c>
      <c r="C23" s="167">
        <f>C22*0.2</f>
        <v>0</v>
      </c>
      <c r="D23" s="173" t="s">
        <v>11</v>
      </c>
      <c r="E23" s="174">
        <v>24</v>
      </c>
      <c r="F23" s="170">
        <f t="shared" si="2"/>
        <v>0</v>
      </c>
    </row>
    <row r="24" spans="1:6" ht="15" customHeight="1" x14ac:dyDescent="0.2">
      <c r="A24" s="164" t="s">
        <v>38</v>
      </c>
      <c r="B24" s="127" t="s">
        <v>30</v>
      </c>
      <c r="C24" s="167">
        <f>C22*0.1</f>
        <v>0</v>
      </c>
      <c r="D24" s="173" t="s">
        <v>11</v>
      </c>
      <c r="E24" s="174">
        <v>110</v>
      </c>
      <c r="F24" s="170">
        <f t="shared" si="2"/>
        <v>0</v>
      </c>
    </row>
    <row r="25" spans="1:6" ht="15" customHeight="1" x14ac:dyDescent="0.25">
      <c r="A25" s="163">
        <v>2.2999999999999998</v>
      </c>
      <c r="B25" s="62" t="s">
        <v>39</v>
      </c>
      <c r="C25" s="179"/>
      <c r="D25" s="179"/>
      <c r="E25" s="179"/>
      <c r="F25" s="180"/>
    </row>
    <row r="26" spans="1:6" ht="15" customHeight="1" x14ac:dyDescent="0.2">
      <c r="A26" s="164" t="s">
        <v>40</v>
      </c>
      <c r="B26" s="127" t="s">
        <v>41</v>
      </c>
      <c r="C26" s="179"/>
      <c r="D26" s="173" t="s">
        <v>11</v>
      </c>
      <c r="E26" s="174">
        <f>ROUNDUP(E14*0.85,0)</f>
        <v>23</v>
      </c>
      <c r="F26" s="170">
        <f t="shared" ref="F26:F30" si="3">C26*E26</f>
        <v>0</v>
      </c>
    </row>
    <row r="27" spans="1:6" ht="15" customHeight="1" x14ac:dyDescent="0.2">
      <c r="A27" s="164" t="s">
        <v>42</v>
      </c>
      <c r="B27" s="127" t="s">
        <v>24</v>
      </c>
      <c r="C27" s="179"/>
      <c r="D27" s="173" t="s">
        <v>11</v>
      </c>
      <c r="E27" s="174">
        <f>E15</f>
        <v>43</v>
      </c>
      <c r="F27" s="170">
        <f t="shared" si="3"/>
        <v>0</v>
      </c>
    </row>
    <row r="28" spans="1:6" ht="15" customHeight="1" x14ac:dyDescent="0.2">
      <c r="A28" s="164" t="s">
        <v>43</v>
      </c>
      <c r="B28" s="127" t="s">
        <v>44</v>
      </c>
      <c r="C28" s="179"/>
      <c r="D28" s="173" t="s">
        <v>11</v>
      </c>
      <c r="E28" s="174">
        <f>E16</f>
        <v>43</v>
      </c>
      <c r="F28" s="170">
        <f t="shared" si="3"/>
        <v>0</v>
      </c>
    </row>
    <row r="29" spans="1:6" ht="15" customHeight="1" x14ac:dyDescent="0.2">
      <c r="A29" s="164" t="s">
        <v>45</v>
      </c>
      <c r="B29" s="127" t="s">
        <v>28</v>
      </c>
      <c r="C29" s="167">
        <f>C28*0.2</f>
        <v>0</v>
      </c>
      <c r="D29" s="173" t="s">
        <v>11</v>
      </c>
      <c r="E29" s="174">
        <f>E17</f>
        <v>24</v>
      </c>
      <c r="F29" s="170">
        <f t="shared" si="3"/>
        <v>0</v>
      </c>
    </row>
    <row r="30" spans="1:6" ht="15" customHeight="1" x14ac:dyDescent="0.2">
      <c r="A30" s="164" t="s">
        <v>46</v>
      </c>
      <c r="B30" s="127" t="s">
        <v>30</v>
      </c>
      <c r="C30" s="167">
        <f>C28*0.1</f>
        <v>0</v>
      </c>
      <c r="D30" s="173" t="s">
        <v>11</v>
      </c>
      <c r="E30" s="174">
        <f>E18</f>
        <v>110</v>
      </c>
      <c r="F30" s="170">
        <f t="shared" si="3"/>
        <v>0</v>
      </c>
    </row>
    <row r="31" spans="1:6" x14ac:dyDescent="0.25">
      <c r="A31" s="165">
        <v>3</v>
      </c>
      <c r="B31" s="70" t="s">
        <v>47</v>
      </c>
      <c r="C31" s="71"/>
      <c r="D31" s="72"/>
      <c r="E31" s="79"/>
      <c r="F31" s="74">
        <f>SUM(F33:F45)</f>
        <v>169648.5</v>
      </c>
    </row>
    <row r="32" spans="1:6" ht="15" customHeight="1" x14ac:dyDescent="0.25">
      <c r="A32" s="177">
        <v>3.1</v>
      </c>
      <c r="B32" s="62" t="s">
        <v>48</v>
      </c>
      <c r="C32" s="15"/>
      <c r="D32" s="14"/>
      <c r="E32" s="53"/>
      <c r="F32" s="16"/>
    </row>
    <row r="33" spans="1:6" ht="15" customHeight="1" x14ac:dyDescent="0.2">
      <c r="A33" s="178" t="s">
        <v>49</v>
      </c>
      <c r="B33" s="61" t="s">
        <v>50</v>
      </c>
      <c r="C33" s="167">
        <f>75+67+100+82+164</f>
        <v>488</v>
      </c>
      <c r="D33" s="168" t="s">
        <v>51</v>
      </c>
      <c r="E33" s="169">
        <v>64</v>
      </c>
      <c r="F33" s="170">
        <f t="shared" ref="F33:F35" si="4">SUM(E33*C33)</f>
        <v>31232</v>
      </c>
    </row>
    <row r="34" spans="1:6" ht="15" customHeight="1" x14ac:dyDescent="0.2">
      <c r="A34" s="178" t="s">
        <v>52</v>
      </c>
      <c r="B34" s="61" t="s">
        <v>53</v>
      </c>
      <c r="C34" s="167">
        <v>0</v>
      </c>
      <c r="D34" s="168" t="s">
        <v>51</v>
      </c>
      <c r="E34" s="169">
        <v>61</v>
      </c>
      <c r="F34" s="170">
        <f t="shared" si="4"/>
        <v>0</v>
      </c>
    </row>
    <row r="35" spans="1:6" ht="15" customHeight="1" x14ac:dyDescent="0.2">
      <c r="A35" s="178" t="s">
        <v>54</v>
      </c>
      <c r="B35" s="61" t="s">
        <v>55</v>
      </c>
      <c r="C35" s="167">
        <f>80+12+8+50+12+8</f>
        <v>170</v>
      </c>
      <c r="D35" s="168" t="s">
        <v>51</v>
      </c>
      <c r="E35" s="169">
        <v>52</v>
      </c>
      <c r="F35" s="170">
        <f t="shared" si="4"/>
        <v>8840</v>
      </c>
    </row>
    <row r="36" spans="1:6" x14ac:dyDescent="0.25">
      <c r="A36" s="177">
        <v>3.2</v>
      </c>
      <c r="B36" s="62" t="s">
        <v>56</v>
      </c>
      <c r="C36" s="171"/>
      <c r="D36" s="171"/>
      <c r="E36" s="171"/>
      <c r="F36" s="171"/>
    </row>
    <row r="37" spans="1:6" ht="14.25" x14ac:dyDescent="0.2">
      <c r="A37" s="178" t="s">
        <v>57</v>
      </c>
      <c r="B37" s="61" t="s">
        <v>58</v>
      </c>
      <c r="C37" s="167">
        <f>3.5*5+5*5+1.5*3+2*5*4+5*1.5+115</f>
        <v>209.5</v>
      </c>
      <c r="D37" s="168" t="s">
        <v>11</v>
      </c>
      <c r="E37" s="169">
        <v>70</v>
      </c>
      <c r="F37" s="170">
        <f>SUM(E37*C37)</f>
        <v>14665</v>
      </c>
    </row>
    <row r="38" spans="1:6" ht="15" customHeight="1" x14ac:dyDescent="0.2">
      <c r="A38" s="178" t="s">
        <v>59</v>
      </c>
      <c r="B38" s="61" t="s">
        <v>60</v>
      </c>
      <c r="C38" s="167">
        <f>C37</f>
        <v>209.5</v>
      </c>
      <c r="D38" s="168" t="s">
        <v>11</v>
      </c>
      <c r="E38" s="169">
        <v>35</v>
      </c>
      <c r="F38" s="170">
        <f>SUM(E38*C38)</f>
        <v>7332.5</v>
      </c>
    </row>
    <row r="39" spans="1:6" ht="15" customHeight="1" x14ac:dyDescent="0.25">
      <c r="A39" s="177">
        <v>3.3</v>
      </c>
      <c r="B39" s="62" t="s">
        <v>61</v>
      </c>
      <c r="E39" s="169"/>
      <c r="F39" s="170"/>
    </row>
    <row r="40" spans="1:6" ht="15" customHeight="1" x14ac:dyDescent="0.2">
      <c r="A40" s="178" t="s">
        <v>62</v>
      </c>
      <c r="B40" s="61" t="s">
        <v>63</v>
      </c>
      <c r="C40" s="167">
        <f>(90+58+24+45+26)*1.5</f>
        <v>364.5</v>
      </c>
      <c r="D40" s="168" t="s">
        <v>11</v>
      </c>
      <c r="E40" s="169">
        <f>ROUNDUP(E37*125/150,0)</f>
        <v>59</v>
      </c>
      <c r="F40" s="170">
        <f t="shared" ref="F40:F41" si="5">SUM(E40*C40)</f>
        <v>21505.5</v>
      </c>
    </row>
    <row r="41" spans="1:6" ht="15" customHeight="1" x14ac:dyDescent="0.2">
      <c r="A41" s="178" t="s">
        <v>64</v>
      </c>
      <c r="B41" s="61" t="s">
        <v>65</v>
      </c>
      <c r="C41" s="167">
        <f>C40</f>
        <v>364.5</v>
      </c>
      <c r="D41" s="168" t="s">
        <v>11</v>
      </c>
      <c r="E41" s="169">
        <f>ROUNDUP(E38*0.8,0)</f>
        <v>28</v>
      </c>
      <c r="F41" s="170">
        <f t="shared" si="5"/>
        <v>10206</v>
      </c>
    </row>
    <row r="42" spans="1:6" ht="15" customHeight="1" x14ac:dyDescent="0.25">
      <c r="A42" s="177">
        <v>3.4</v>
      </c>
      <c r="B42" s="62" t="s">
        <v>66</v>
      </c>
      <c r="E42" s="169"/>
      <c r="F42" s="170"/>
    </row>
    <row r="43" spans="1:6" ht="15" customHeight="1" x14ac:dyDescent="0.2">
      <c r="A43" s="178" t="s">
        <v>67</v>
      </c>
      <c r="B43" s="61" t="s">
        <v>63</v>
      </c>
      <c r="C43" s="167">
        <f>(57+44+20+10+86+84)*2.5</f>
        <v>752.5</v>
      </c>
      <c r="D43" s="168" t="s">
        <v>11</v>
      </c>
      <c r="E43" s="169">
        <f>E40</f>
        <v>59</v>
      </c>
      <c r="F43" s="170">
        <f t="shared" ref="F43:F45" si="6">SUM(E43*C43)</f>
        <v>44397.5</v>
      </c>
    </row>
    <row r="44" spans="1:6" ht="14.25" x14ac:dyDescent="0.2">
      <c r="A44" s="178" t="s">
        <v>68</v>
      </c>
      <c r="B44" s="61" t="s">
        <v>65</v>
      </c>
      <c r="C44" s="167">
        <f>C43</f>
        <v>752.5</v>
      </c>
      <c r="D44" s="168" t="s">
        <v>11</v>
      </c>
      <c r="E44" s="169">
        <f>ROUNDUP(E38*0.8,0)</f>
        <v>28</v>
      </c>
      <c r="F44" s="170">
        <f t="shared" si="6"/>
        <v>21070</v>
      </c>
    </row>
    <row r="45" spans="1:6" ht="15" customHeight="1" x14ac:dyDescent="0.2">
      <c r="A45" s="177">
        <v>3.5</v>
      </c>
      <c r="B45" s="61" t="s">
        <v>69</v>
      </c>
      <c r="C45" s="167">
        <v>16</v>
      </c>
      <c r="D45" s="168" t="s">
        <v>14</v>
      </c>
      <c r="E45" s="169">
        <v>650</v>
      </c>
      <c r="F45" s="170">
        <f t="shared" si="6"/>
        <v>10400</v>
      </c>
    </row>
    <row r="46" spans="1:6" ht="15" customHeight="1" x14ac:dyDescent="0.25">
      <c r="A46" s="165">
        <v>4</v>
      </c>
      <c r="B46" s="70" t="s">
        <v>70</v>
      </c>
      <c r="C46" s="71"/>
      <c r="D46" s="72"/>
      <c r="E46" s="79"/>
      <c r="F46" s="74">
        <f>SUM(F47:F60)</f>
        <v>123310</v>
      </c>
    </row>
    <row r="47" spans="1:6" ht="15" customHeight="1" x14ac:dyDescent="0.2">
      <c r="A47" s="177">
        <v>4.0999999999999996</v>
      </c>
      <c r="B47" s="61" t="s">
        <v>71</v>
      </c>
      <c r="C47" s="15">
        <v>6</v>
      </c>
      <c r="D47" s="14" t="s">
        <v>14</v>
      </c>
      <c r="E47" s="53">
        <v>4900</v>
      </c>
      <c r="F47" s="16">
        <f t="shared" ref="F47:F63" si="7">E47*C47</f>
        <v>29400</v>
      </c>
    </row>
    <row r="48" spans="1:6" ht="15" customHeight="1" x14ac:dyDescent="0.2">
      <c r="A48" s="177">
        <v>4.2</v>
      </c>
      <c r="B48" s="61" t="s">
        <v>72</v>
      </c>
      <c r="C48" s="15">
        <v>0</v>
      </c>
      <c r="D48" s="14" t="s">
        <v>14</v>
      </c>
      <c r="E48" s="53">
        <v>1650</v>
      </c>
      <c r="F48" s="16">
        <f t="shared" si="7"/>
        <v>0</v>
      </c>
    </row>
    <row r="49" spans="1:6" ht="15" customHeight="1" x14ac:dyDescent="0.25">
      <c r="A49" s="177">
        <v>4.3</v>
      </c>
      <c r="B49" s="62" t="s">
        <v>73</v>
      </c>
      <c r="C49" s="15"/>
      <c r="D49" s="14"/>
      <c r="E49" s="53"/>
      <c r="F49" s="16"/>
    </row>
    <row r="50" spans="1:6" ht="15" customHeight="1" x14ac:dyDescent="0.2">
      <c r="A50" s="178" t="s">
        <v>74</v>
      </c>
      <c r="B50" s="61" t="s">
        <v>75</v>
      </c>
      <c r="C50" s="15">
        <v>0</v>
      </c>
      <c r="D50" s="14" t="s">
        <v>14</v>
      </c>
      <c r="E50" s="53">
        <v>4200</v>
      </c>
      <c r="F50" s="16">
        <f t="shared" si="7"/>
        <v>0</v>
      </c>
    </row>
    <row r="51" spans="1:6" ht="14.25" x14ac:dyDescent="0.2">
      <c r="A51" s="178" t="s">
        <v>76</v>
      </c>
      <c r="B51" s="61" t="s">
        <v>77</v>
      </c>
      <c r="C51" s="15">
        <v>0</v>
      </c>
      <c r="D51" s="14" t="s">
        <v>14</v>
      </c>
      <c r="E51" s="53">
        <v>5300</v>
      </c>
      <c r="F51" s="16">
        <f t="shared" si="7"/>
        <v>0</v>
      </c>
    </row>
    <row r="52" spans="1:6" ht="15" customHeight="1" x14ac:dyDescent="0.25">
      <c r="A52" s="177">
        <v>4.4000000000000004</v>
      </c>
      <c r="B52" s="62" t="s">
        <v>78</v>
      </c>
      <c r="C52" s="15"/>
      <c r="D52" s="14"/>
      <c r="E52" s="53"/>
      <c r="F52" s="16"/>
    </row>
    <row r="53" spans="1:6" ht="15" customHeight="1" x14ac:dyDescent="0.2">
      <c r="A53" s="178" t="s">
        <v>79</v>
      </c>
      <c r="B53" s="61" t="s">
        <v>80</v>
      </c>
      <c r="C53" s="15">
        <v>68</v>
      </c>
      <c r="D53" s="14" t="s">
        <v>51</v>
      </c>
      <c r="E53" s="53">
        <v>325</v>
      </c>
      <c r="F53" s="16">
        <f t="shared" si="7"/>
        <v>22100</v>
      </c>
    </row>
    <row r="54" spans="1:6" ht="15" customHeight="1" x14ac:dyDescent="0.2">
      <c r="A54" s="178" t="s">
        <v>81</v>
      </c>
      <c r="B54" s="61" t="s">
        <v>82</v>
      </c>
      <c r="C54" s="15">
        <v>112</v>
      </c>
      <c r="D54" s="14" t="s">
        <v>51</v>
      </c>
      <c r="E54" s="53">
        <v>480</v>
      </c>
      <c r="F54" s="16">
        <f t="shared" si="7"/>
        <v>53760</v>
      </c>
    </row>
    <row r="55" spans="1:6" ht="15" customHeight="1" x14ac:dyDescent="0.2">
      <c r="A55" s="178" t="s">
        <v>83</v>
      </c>
      <c r="B55" s="61" t="s">
        <v>84</v>
      </c>
      <c r="C55" s="15">
        <v>0</v>
      </c>
      <c r="D55" s="14" t="s">
        <v>51</v>
      </c>
      <c r="E55" s="53">
        <v>600</v>
      </c>
      <c r="F55" s="16">
        <f t="shared" si="7"/>
        <v>0</v>
      </c>
    </row>
    <row r="56" spans="1:6" ht="15" customHeight="1" x14ac:dyDescent="0.2">
      <c r="A56" s="178" t="s">
        <v>85</v>
      </c>
      <c r="B56" s="61" t="s">
        <v>86</v>
      </c>
      <c r="C56" s="15">
        <v>0</v>
      </c>
      <c r="D56" s="14" t="s">
        <v>51</v>
      </c>
      <c r="E56" s="53">
        <v>750</v>
      </c>
      <c r="F56" s="16">
        <f t="shared" si="7"/>
        <v>0</v>
      </c>
    </row>
    <row r="57" spans="1:6" ht="15" customHeight="1" x14ac:dyDescent="0.25">
      <c r="A57" s="177">
        <v>4.5</v>
      </c>
      <c r="B57" s="62" t="s">
        <v>87</v>
      </c>
      <c r="C57" s="15"/>
      <c r="D57" s="14"/>
      <c r="E57" s="53"/>
      <c r="F57" s="16"/>
    </row>
    <row r="58" spans="1:6" ht="15" customHeight="1" x14ac:dyDescent="0.2">
      <c r="A58" s="178" t="s">
        <v>88</v>
      </c>
      <c r="B58" s="61" t="s">
        <v>89</v>
      </c>
      <c r="C58" s="15">
        <v>0</v>
      </c>
      <c r="D58" s="14" t="s">
        <v>14</v>
      </c>
      <c r="E58" s="53">
        <v>3800</v>
      </c>
      <c r="F58" s="16">
        <f t="shared" ref="F58" si="8">E58*C58</f>
        <v>0</v>
      </c>
    </row>
    <row r="59" spans="1:6" ht="15" customHeight="1" x14ac:dyDescent="0.2">
      <c r="A59" s="177">
        <v>4.5999999999999996</v>
      </c>
      <c r="B59" s="127" t="s">
        <v>90</v>
      </c>
      <c r="C59" s="15">
        <f>C33+C35</f>
        <v>658</v>
      </c>
      <c r="D59" s="128" t="s">
        <v>51</v>
      </c>
      <c r="E59" s="53">
        <v>25</v>
      </c>
      <c r="F59" s="16">
        <f t="shared" si="7"/>
        <v>16450</v>
      </c>
    </row>
    <row r="60" spans="1:6" ht="15" customHeight="1" x14ac:dyDescent="0.2">
      <c r="A60" s="177">
        <v>4.7</v>
      </c>
      <c r="B60" s="127" t="s">
        <v>91</v>
      </c>
      <c r="C60" s="15">
        <v>4</v>
      </c>
      <c r="D60" s="128" t="s">
        <v>92</v>
      </c>
      <c r="E60" s="53">
        <v>400</v>
      </c>
      <c r="F60" s="16">
        <f t="shared" si="7"/>
        <v>1600</v>
      </c>
    </row>
    <row r="61" spans="1:6" ht="15" customHeight="1" x14ac:dyDescent="0.25">
      <c r="A61" s="165">
        <v>5</v>
      </c>
      <c r="B61" s="70" t="s">
        <v>93</v>
      </c>
      <c r="C61" s="71"/>
      <c r="D61" s="72"/>
      <c r="E61" s="73"/>
      <c r="F61" s="74">
        <f>SUM(F62:F63)</f>
        <v>0</v>
      </c>
    </row>
    <row r="62" spans="1:6" ht="15" customHeight="1" x14ac:dyDescent="0.2">
      <c r="A62" s="177">
        <v>5.0999999999999996</v>
      </c>
      <c r="B62" s="61" t="s">
        <v>94</v>
      </c>
      <c r="C62" s="167">
        <v>0</v>
      </c>
      <c r="D62" s="14" t="s">
        <v>14</v>
      </c>
      <c r="E62" s="53">
        <v>280000</v>
      </c>
      <c r="F62" s="16">
        <f t="shared" si="7"/>
        <v>0</v>
      </c>
    </row>
    <row r="63" spans="1:6" ht="15" customHeight="1" x14ac:dyDescent="0.2">
      <c r="A63" s="177">
        <v>5.2</v>
      </c>
      <c r="B63" s="61" t="s">
        <v>95</v>
      </c>
      <c r="C63" s="167">
        <v>0</v>
      </c>
      <c r="D63" s="14" t="s">
        <v>14</v>
      </c>
      <c r="E63" s="53"/>
      <c r="F63" s="16">
        <f t="shared" si="7"/>
        <v>0</v>
      </c>
    </row>
    <row r="64" spans="1:6" ht="15" customHeight="1" x14ac:dyDescent="0.25">
      <c r="A64" s="165">
        <v>6</v>
      </c>
      <c r="B64" s="70" t="s">
        <v>96</v>
      </c>
      <c r="C64" s="71"/>
      <c r="D64" s="72"/>
      <c r="E64" s="79"/>
      <c r="F64" s="74">
        <f>SUM(F65:F67)</f>
        <v>7567.5</v>
      </c>
    </row>
    <row r="65" spans="1:6" ht="15" customHeight="1" x14ac:dyDescent="0.2">
      <c r="A65" s="177">
        <v>6.1</v>
      </c>
      <c r="B65" s="61" t="s">
        <v>97</v>
      </c>
      <c r="C65" s="15">
        <v>16</v>
      </c>
      <c r="D65" s="14" t="s">
        <v>14</v>
      </c>
      <c r="E65" s="53">
        <v>50</v>
      </c>
      <c r="F65" s="16">
        <f t="shared" ref="F65:F67" si="9">E65*C65</f>
        <v>800</v>
      </c>
    </row>
    <row r="66" spans="1:6" ht="15" customHeight="1" x14ac:dyDescent="0.2">
      <c r="A66" s="177">
        <v>6.2</v>
      </c>
      <c r="B66" s="61" t="s">
        <v>98</v>
      </c>
      <c r="C66" s="15">
        <v>0</v>
      </c>
      <c r="D66" s="14" t="s">
        <v>11</v>
      </c>
      <c r="E66" s="53">
        <v>60</v>
      </c>
      <c r="F66" s="16">
        <f t="shared" si="9"/>
        <v>0</v>
      </c>
    </row>
    <row r="67" spans="1:6" ht="15" customHeight="1" x14ac:dyDescent="0.2">
      <c r="A67" s="177">
        <v>6.3</v>
      </c>
      <c r="B67" s="61" t="s">
        <v>99</v>
      </c>
      <c r="C67" s="15">
        <f>ROUNDUP(25*1.8+15*5+110+40*9+43*3+90+22*5.4+24*5.4+60+23*5+25*2.5+320+84*8+84*5,0)</f>
        <v>2707</v>
      </c>
      <c r="D67" s="14" t="s">
        <v>11</v>
      </c>
      <c r="E67" s="53">
        <v>2.5</v>
      </c>
      <c r="F67" s="16">
        <f t="shared" si="9"/>
        <v>6767.5</v>
      </c>
    </row>
    <row r="68" spans="1:6" ht="15" customHeight="1" x14ac:dyDescent="0.25">
      <c r="A68" s="165">
        <v>7</v>
      </c>
      <c r="B68" s="70" t="s">
        <v>100</v>
      </c>
      <c r="C68" s="71"/>
      <c r="D68" s="72"/>
      <c r="E68" s="73"/>
      <c r="F68" s="74">
        <f>SUM(F69:F72)</f>
        <v>113160</v>
      </c>
    </row>
    <row r="69" spans="1:6" ht="15" customHeight="1" x14ac:dyDescent="0.2">
      <c r="A69" s="177">
        <v>7.1</v>
      </c>
      <c r="B69" s="61" t="s">
        <v>101</v>
      </c>
      <c r="C69" s="15">
        <v>0</v>
      </c>
      <c r="D69" s="14" t="s">
        <v>14</v>
      </c>
      <c r="E69" s="53">
        <v>100000</v>
      </c>
      <c r="F69" s="16">
        <f t="shared" ref="F69:F71" si="10">E69*C69</f>
        <v>0</v>
      </c>
    </row>
    <row r="70" spans="1:6" ht="15" customHeight="1" x14ac:dyDescent="0.2">
      <c r="A70" s="177">
        <v>7.2</v>
      </c>
      <c r="B70" s="61" t="s">
        <v>102</v>
      </c>
      <c r="C70" s="15">
        <v>1</v>
      </c>
      <c r="D70" s="14" t="s">
        <v>14</v>
      </c>
      <c r="E70" s="53">
        <v>80000</v>
      </c>
      <c r="F70" s="16">
        <f t="shared" si="10"/>
        <v>80000</v>
      </c>
    </row>
    <row r="71" spans="1:6" ht="15" customHeight="1" x14ac:dyDescent="0.2">
      <c r="A71" s="177">
        <v>7.3</v>
      </c>
      <c r="B71" s="61" t="s">
        <v>103</v>
      </c>
      <c r="C71" s="15">
        <v>115</v>
      </c>
      <c r="D71" s="14" t="s">
        <v>51</v>
      </c>
      <c r="E71" s="53">
        <v>160</v>
      </c>
      <c r="F71" s="16">
        <f t="shared" si="10"/>
        <v>18400</v>
      </c>
    </row>
    <row r="72" spans="1:6" ht="15" customHeight="1" x14ac:dyDescent="0.2">
      <c r="A72" s="177">
        <v>7.4</v>
      </c>
      <c r="B72" s="61" t="s">
        <v>104</v>
      </c>
      <c r="C72" s="15">
        <v>15</v>
      </c>
      <c r="D72" s="14" t="s">
        <v>105</v>
      </c>
      <c r="E72" s="53">
        <f>SUM(F69:F71)</f>
        <v>98400</v>
      </c>
      <c r="F72" s="16">
        <f>E72*C72/100</f>
        <v>14760</v>
      </c>
    </row>
    <row r="73" spans="1:6" ht="15" customHeight="1" x14ac:dyDescent="0.25">
      <c r="A73" s="165">
        <v>8</v>
      </c>
      <c r="B73" s="70" t="s">
        <v>106</v>
      </c>
      <c r="C73" s="71"/>
      <c r="D73" s="72"/>
      <c r="E73" s="73"/>
      <c r="F73" s="74">
        <f>SUM(F74:F79)</f>
        <v>39224.643499999998</v>
      </c>
    </row>
    <row r="74" spans="1:6" ht="15" customHeight="1" x14ac:dyDescent="0.2">
      <c r="A74" s="177">
        <v>8.1</v>
      </c>
      <c r="B74" s="61" t="s">
        <v>107</v>
      </c>
      <c r="C74" s="15">
        <v>1</v>
      </c>
      <c r="D74" s="14" t="s">
        <v>14</v>
      </c>
      <c r="E74" s="53">
        <v>8000</v>
      </c>
      <c r="F74" s="16">
        <f t="shared" ref="F74:F76" si="11">C74*E74</f>
        <v>8000</v>
      </c>
    </row>
    <row r="75" spans="1:6" ht="15" customHeight="1" x14ac:dyDescent="0.2">
      <c r="A75" s="177">
        <v>8.1999999999999993</v>
      </c>
      <c r="B75" s="61" t="s">
        <v>108</v>
      </c>
      <c r="C75" s="15">
        <v>33</v>
      </c>
      <c r="D75" s="14" t="s">
        <v>14</v>
      </c>
      <c r="E75" s="53">
        <v>280</v>
      </c>
      <c r="F75" s="16">
        <f t="shared" si="11"/>
        <v>9240</v>
      </c>
    </row>
    <row r="76" spans="1:6" ht="15" customHeight="1" x14ac:dyDescent="0.2">
      <c r="A76" s="177">
        <v>8.3000000000000007</v>
      </c>
      <c r="B76" s="61" t="s">
        <v>109</v>
      </c>
      <c r="C76" s="15">
        <v>1</v>
      </c>
      <c r="D76" s="14" t="s">
        <v>14</v>
      </c>
      <c r="E76" s="53">
        <f>0.015*(F46+F31+F12)</f>
        <v>9533.5185000000001</v>
      </c>
      <c r="F76" s="16">
        <f t="shared" si="11"/>
        <v>9533.5185000000001</v>
      </c>
    </row>
    <row r="77" spans="1:6" ht="15" customHeight="1" x14ac:dyDescent="0.2">
      <c r="A77" s="177">
        <v>8.4</v>
      </c>
      <c r="B77" s="61" t="s">
        <v>110</v>
      </c>
      <c r="C77" s="15">
        <v>1</v>
      </c>
      <c r="D77" s="14" t="s">
        <v>14</v>
      </c>
      <c r="E77" s="53">
        <f>0.15*F64</f>
        <v>1135.125</v>
      </c>
      <c r="F77" s="16">
        <f>C77*E77</f>
        <v>1135.125</v>
      </c>
    </row>
    <row r="78" spans="1:6" ht="15" customHeight="1" x14ac:dyDescent="0.2">
      <c r="A78" s="177">
        <v>8.5</v>
      </c>
      <c r="B78" s="61" t="s">
        <v>111</v>
      </c>
      <c r="C78" s="15">
        <v>10</v>
      </c>
      <c r="D78" s="14" t="s">
        <v>112</v>
      </c>
      <c r="E78" s="53">
        <f>F62*0.015</f>
        <v>0</v>
      </c>
      <c r="F78" s="16">
        <f>C78*E78</f>
        <v>0</v>
      </c>
    </row>
    <row r="79" spans="1:6" ht="15" customHeight="1" x14ac:dyDescent="0.2">
      <c r="A79" s="177">
        <v>8.6</v>
      </c>
      <c r="B79" s="61" t="s">
        <v>113</v>
      </c>
      <c r="C79" s="15">
        <v>1</v>
      </c>
      <c r="D79" s="14" t="s">
        <v>14</v>
      </c>
      <c r="E79" s="53">
        <f>0.1*F68</f>
        <v>11316</v>
      </c>
      <c r="F79" s="16">
        <f>C79*E79</f>
        <v>11316</v>
      </c>
    </row>
    <row r="80" spans="1:6" ht="15" customHeight="1" x14ac:dyDescent="0.25">
      <c r="A80" s="165">
        <v>9</v>
      </c>
      <c r="B80" s="70" t="s">
        <v>114</v>
      </c>
      <c r="C80" s="71"/>
      <c r="D80" s="72"/>
      <c r="E80" s="73"/>
      <c r="F80" s="74">
        <f>SUM(F81:F83)</f>
        <v>0</v>
      </c>
    </row>
    <row r="84" spans="1:6" ht="15" customHeight="1" x14ac:dyDescent="0.25">
      <c r="A84" s="92"/>
      <c r="B84" s="160" t="s">
        <v>115</v>
      </c>
      <c r="C84" s="75"/>
      <c r="D84" s="76"/>
      <c r="E84" s="83"/>
      <c r="F84" s="181">
        <f>SUM(F5,F12,F31,F46,F61,F64,F68,F73,F80)</f>
        <v>903091.28500000003</v>
      </c>
    </row>
    <row r="85" spans="1:6" ht="15" customHeight="1" x14ac:dyDescent="0.25">
      <c r="A85" s="165">
        <v>10</v>
      </c>
      <c r="B85" s="70" t="s">
        <v>116</v>
      </c>
      <c r="C85" s="71"/>
      <c r="D85" s="72"/>
      <c r="E85" s="73"/>
      <c r="F85" s="74"/>
    </row>
    <row r="86" spans="1:6" ht="15" customHeight="1" x14ac:dyDescent="0.2">
      <c r="A86" s="177">
        <v>10.1</v>
      </c>
      <c r="B86" s="61" t="s">
        <v>117</v>
      </c>
      <c r="C86" s="166">
        <v>3.25</v>
      </c>
      <c r="D86" s="14" t="s">
        <v>105</v>
      </c>
      <c r="E86" s="175"/>
      <c r="F86" s="176">
        <f>C86%*F$84</f>
        <v>29350.466762500004</v>
      </c>
    </row>
    <row r="87" spans="1:6" ht="15" customHeight="1" x14ac:dyDescent="0.2">
      <c r="A87" s="177">
        <v>10.199999999999999</v>
      </c>
      <c r="B87" s="61" t="s">
        <v>118</v>
      </c>
      <c r="C87" s="166">
        <v>1</v>
      </c>
      <c r="D87" s="14" t="s">
        <v>105</v>
      </c>
      <c r="E87" s="175"/>
      <c r="F87" s="176">
        <f t="shared" ref="F87:F93" si="12">C87%*F$84</f>
        <v>9030.9128500000006</v>
      </c>
    </row>
    <row r="88" spans="1:6" ht="15" customHeight="1" x14ac:dyDescent="0.2">
      <c r="A88" s="177">
        <v>10.3</v>
      </c>
      <c r="B88" s="61" t="s">
        <v>119</v>
      </c>
      <c r="C88" s="166">
        <v>5</v>
      </c>
      <c r="D88" s="14" t="s">
        <v>105</v>
      </c>
      <c r="E88" s="175"/>
      <c r="F88" s="176">
        <f t="shared" si="12"/>
        <v>45154.564250000003</v>
      </c>
    </row>
    <row r="89" spans="1:6" ht="15" customHeight="1" x14ac:dyDescent="0.2">
      <c r="A89" s="177">
        <v>10.4</v>
      </c>
      <c r="B89" s="61" t="s">
        <v>120</v>
      </c>
      <c r="C89" s="166">
        <v>0.5</v>
      </c>
      <c r="D89" s="14" t="s">
        <v>105</v>
      </c>
      <c r="E89" s="175"/>
      <c r="F89" s="176">
        <f t="shared" si="12"/>
        <v>4515.4564250000003</v>
      </c>
    </row>
    <row r="90" spans="1:6" ht="15" customHeight="1" x14ac:dyDescent="0.2">
      <c r="A90" s="177">
        <v>10.5</v>
      </c>
      <c r="B90" s="61" t="s">
        <v>121</v>
      </c>
      <c r="C90" s="166">
        <v>5</v>
      </c>
      <c r="D90" s="14" t="s">
        <v>105</v>
      </c>
      <c r="E90" s="175"/>
      <c r="F90" s="176">
        <f t="shared" si="12"/>
        <v>45154.564250000003</v>
      </c>
    </row>
    <row r="91" spans="1:6" ht="15" customHeight="1" x14ac:dyDescent="0.2">
      <c r="A91" s="177">
        <v>10.6</v>
      </c>
      <c r="B91" s="61" t="s">
        <v>122</v>
      </c>
      <c r="C91" s="166">
        <v>9</v>
      </c>
      <c r="D91" s="14" t="s">
        <v>105</v>
      </c>
      <c r="E91" s="175"/>
      <c r="F91" s="176">
        <f t="shared" si="12"/>
        <v>81278.215649999998</v>
      </c>
    </row>
    <row r="92" spans="1:6" ht="15" customHeight="1" x14ac:dyDescent="0.2">
      <c r="A92" s="177">
        <v>10.7</v>
      </c>
      <c r="B92" s="61" t="s">
        <v>123</v>
      </c>
      <c r="C92" s="166">
        <v>2.5</v>
      </c>
      <c r="D92" s="14" t="s">
        <v>105</v>
      </c>
      <c r="E92" s="175"/>
      <c r="F92" s="176">
        <f t="shared" si="12"/>
        <v>22577.282125000002</v>
      </c>
    </row>
    <row r="93" spans="1:6" ht="15" customHeight="1" x14ac:dyDescent="0.2">
      <c r="A93" s="177">
        <v>10.8</v>
      </c>
      <c r="B93" s="61" t="s">
        <v>124</v>
      </c>
      <c r="C93" s="166">
        <v>15</v>
      </c>
      <c r="D93" s="14" t="s">
        <v>105</v>
      </c>
      <c r="E93" s="175"/>
      <c r="F93" s="176">
        <f t="shared" si="12"/>
        <v>135463.69274999999</v>
      </c>
    </row>
    <row r="94" spans="1:6" ht="15" customHeight="1" x14ac:dyDescent="0.25">
      <c r="A94" s="92"/>
      <c r="B94" s="160" t="s">
        <v>125</v>
      </c>
      <c r="C94" s="75"/>
      <c r="D94" s="76"/>
      <c r="E94" s="83"/>
      <c r="F94" s="181">
        <f>SUM(F84:F93)</f>
        <v>1275616.4400624998</v>
      </c>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F94"/>
  <sheetViews>
    <sheetView workbookViewId="0"/>
  </sheetViews>
  <sheetFormatPr defaultColWidth="9.140625" defaultRowHeight="15" customHeight="1" x14ac:dyDescent="0.2"/>
  <cols>
    <col min="1" max="1" width="12.7109375" style="162" customWidth="1"/>
    <col min="2" max="2" width="50.7109375" style="162" customWidth="1"/>
    <col min="3" max="4" width="12.7109375" style="162" customWidth="1"/>
    <col min="5" max="6" width="15.7109375" style="162" customWidth="1"/>
    <col min="7" max="16384" width="9.140625" style="162"/>
  </cols>
  <sheetData>
    <row r="1" spans="1:6" ht="15" customHeight="1" x14ac:dyDescent="0.25">
      <c r="A1" s="1" t="s">
        <v>0</v>
      </c>
      <c r="F1" s="161">
        <v>43544</v>
      </c>
    </row>
    <row r="2" spans="1:6" ht="15" customHeight="1" x14ac:dyDescent="0.25">
      <c r="A2" s="1" t="s">
        <v>129</v>
      </c>
    </row>
    <row r="4" spans="1:6" ht="30" x14ac:dyDescent="0.2">
      <c r="A4" s="182" t="s">
        <v>2</v>
      </c>
      <c r="B4" s="182" t="s">
        <v>3</v>
      </c>
      <c r="C4" s="182" t="s">
        <v>4</v>
      </c>
      <c r="D4" s="182" t="s">
        <v>5</v>
      </c>
      <c r="E4" s="183" t="s">
        <v>6</v>
      </c>
      <c r="F4" s="183" t="s">
        <v>7</v>
      </c>
    </row>
    <row r="5" spans="1:6" ht="15" customHeight="1" x14ac:dyDescent="0.25">
      <c r="A5" s="165">
        <v>1</v>
      </c>
      <c r="B5" s="70" t="s">
        <v>8</v>
      </c>
      <c r="C5" s="71"/>
      <c r="D5" s="72"/>
      <c r="E5" s="79"/>
      <c r="F5" s="74">
        <f>SUM(F6:F11)</f>
        <v>173599.55200000003</v>
      </c>
    </row>
    <row r="6" spans="1:6" ht="15" customHeight="1" x14ac:dyDescent="0.2">
      <c r="A6" s="177">
        <v>1.1000000000000001</v>
      </c>
      <c r="B6" s="127" t="s">
        <v>9</v>
      </c>
      <c r="C6" s="167">
        <f>C7</f>
        <v>4159.7</v>
      </c>
      <c r="D6" s="173" t="s">
        <v>11</v>
      </c>
      <c r="E6" s="174">
        <v>5</v>
      </c>
      <c r="F6" s="170">
        <f t="shared" ref="F6:F11" si="0">C6*E6</f>
        <v>20798.5</v>
      </c>
    </row>
    <row r="7" spans="1:6" ht="15" customHeight="1" x14ac:dyDescent="0.2">
      <c r="A7" s="177">
        <v>1.2</v>
      </c>
      <c r="B7" s="127" t="s">
        <v>12</v>
      </c>
      <c r="C7" s="167">
        <f>ROUNDUP(C33/2*5,0)+C43+C40+(C14+C20+C26)*0.2</f>
        <v>4159.7</v>
      </c>
      <c r="D7" s="173" t="s">
        <v>11</v>
      </c>
      <c r="E7" s="174">
        <v>7</v>
      </c>
      <c r="F7" s="170">
        <f t="shared" si="0"/>
        <v>29117.899999999998</v>
      </c>
    </row>
    <row r="8" spans="1:6" ht="15" customHeight="1" x14ac:dyDescent="0.2">
      <c r="A8" s="177">
        <v>1.3</v>
      </c>
      <c r="B8" s="127" t="s">
        <v>13</v>
      </c>
      <c r="C8" s="167">
        <v>1</v>
      </c>
      <c r="D8" s="173" t="s">
        <v>14</v>
      </c>
      <c r="E8" s="174">
        <v>10000</v>
      </c>
      <c r="F8" s="170">
        <f t="shared" si="0"/>
        <v>10000</v>
      </c>
    </row>
    <row r="9" spans="1:6" ht="15" customHeight="1" x14ac:dyDescent="0.2">
      <c r="A9" s="177">
        <v>1.4</v>
      </c>
      <c r="B9" s="127" t="s">
        <v>15</v>
      </c>
      <c r="C9" s="167">
        <v>1</v>
      </c>
      <c r="D9" s="173" t="s">
        <v>14</v>
      </c>
      <c r="E9" s="174">
        <v>4800</v>
      </c>
      <c r="F9" s="170">
        <f t="shared" si="0"/>
        <v>4800</v>
      </c>
    </row>
    <row r="10" spans="1:6" ht="15" customHeight="1" x14ac:dyDescent="0.2">
      <c r="A10" s="177">
        <v>1.5</v>
      </c>
      <c r="B10" s="127" t="s">
        <v>16</v>
      </c>
      <c r="C10" s="167">
        <f>(C16*0.4+C37*0.25+C43*0.175+C17*0.3)*0.6+180</f>
        <v>1699.3440000000001</v>
      </c>
      <c r="D10" s="173" t="s">
        <v>17</v>
      </c>
      <c r="E10" s="174">
        <v>45</v>
      </c>
      <c r="F10" s="170">
        <f t="shared" si="0"/>
        <v>76470.48</v>
      </c>
    </row>
    <row r="11" spans="1:6" ht="15" customHeight="1" x14ac:dyDescent="0.2">
      <c r="A11" s="177">
        <v>1.6</v>
      </c>
      <c r="B11" s="127" t="s">
        <v>18</v>
      </c>
      <c r="C11" s="167">
        <f>(C16*0.4+C37*0.25+C43*0.175+C17*0.3)*0.4</f>
        <v>1012.8960000000002</v>
      </c>
      <c r="D11" s="173" t="s">
        <v>17</v>
      </c>
      <c r="E11" s="174">
        <v>32</v>
      </c>
      <c r="F11" s="170">
        <f t="shared" si="0"/>
        <v>32412.672000000006</v>
      </c>
    </row>
    <row r="12" spans="1:6" ht="15" customHeight="1" x14ac:dyDescent="0.25">
      <c r="A12" s="165">
        <v>2</v>
      </c>
      <c r="B12" s="70" t="s">
        <v>19</v>
      </c>
      <c r="C12" s="71"/>
      <c r="D12" s="72"/>
      <c r="E12" s="79"/>
      <c r="F12" s="74">
        <f>SUM(F14:F30)</f>
        <v>575239.70000000007</v>
      </c>
    </row>
    <row r="13" spans="1:6" ht="15" customHeight="1" x14ac:dyDescent="0.25">
      <c r="A13" s="163">
        <v>2.1</v>
      </c>
      <c r="B13" s="62" t="s">
        <v>20</v>
      </c>
      <c r="C13" s="167"/>
      <c r="D13" s="168"/>
      <c r="E13" s="172"/>
      <c r="F13" s="170"/>
    </row>
    <row r="14" spans="1:6" ht="15" customHeight="1" x14ac:dyDescent="0.2">
      <c r="A14" s="164" t="s">
        <v>21</v>
      </c>
      <c r="B14" s="127" t="s">
        <v>22</v>
      </c>
      <c r="C14" s="167">
        <f>521+540+300+300+300+348+293+300+355+679+260</f>
        <v>4196</v>
      </c>
      <c r="D14" s="173" t="s">
        <v>11</v>
      </c>
      <c r="E14" s="174">
        <v>27</v>
      </c>
      <c r="F14" s="170">
        <f t="shared" ref="F14:F18" si="1">C14*E14</f>
        <v>113292</v>
      </c>
    </row>
    <row r="15" spans="1:6" ht="15" customHeight="1" x14ac:dyDescent="0.2">
      <c r="A15" s="164" t="s">
        <v>23</v>
      </c>
      <c r="B15" s="127" t="s">
        <v>24</v>
      </c>
      <c r="C15" s="167">
        <f>C14</f>
        <v>4196</v>
      </c>
      <c r="D15" s="173" t="s">
        <v>11</v>
      </c>
      <c r="E15" s="174">
        <f>ROUNDUP(32*100/75,0)</f>
        <v>43</v>
      </c>
      <c r="F15" s="170">
        <f t="shared" si="1"/>
        <v>180428</v>
      </c>
    </row>
    <row r="16" spans="1:6" ht="15" customHeight="1" x14ac:dyDescent="0.2">
      <c r="A16" s="164" t="s">
        <v>25</v>
      </c>
      <c r="B16" s="127" t="s">
        <v>26</v>
      </c>
      <c r="C16" s="167">
        <f>C15+(C35*0.45)+(C33*0.75)</f>
        <v>4787.75</v>
      </c>
      <c r="D16" s="173" t="s">
        <v>11</v>
      </c>
      <c r="E16" s="174">
        <f>ROUNDUP(18*260/110,0)</f>
        <v>43</v>
      </c>
      <c r="F16" s="170">
        <f t="shared" si="1"/>
        <v>205873.25</v>
      </c>
    </row>
    <row r="17" spans="1:6" ht="15" customHeight="1" x14ac:dyDescent="0.2">
      <c r="A17" s="164" t="s">
        <v>27</v>
      </c>
      <c r="B17" s="127" t="s">
        <v>28</v>
      </c>
      <c r="C17" s="167">
        <f>C16*0.2</f>
        <v>957.55000000000007</v>
      </c>
      <c r="D17" s="173" t="s">
        <v>11</v>
      </c>
      <c r="E17" s="174">
        <v>24</v>
      </c>
      <c r="F17" s="170">
        <f t="shared" si="1"/>
        <v>22981.200000000001</v>
      </c>
    </row>
    <row r="18" spans="1:6" ht="15" customHeight="1" x14ac:dyDescent="0.2">
      <c r="A18" s="164" t="s">
        <v>29</v>
      </c>
      <c r="B18" s="127" t="s">
        <v>30</v>
      </c>
      <c r="C18" s="167">
        <f>C16*0.1</f>
        <v>478.77500000000003</v>
      </c>
      <c r="D18" s="173" t="s">
        <v>11</v>
      </c>
      <c r="E18" s="174">
        <v>110</v>
      </c>
      <c r="F18" s="170">
        <f t="shared" si="1"/>
        <v>52665.250000000007</v>
      </c>
    </row>
    <row r="19" spans="1:6" ht="15" customHeight="1" x14ac:dyDescent="0.25">
      <c r="A19" s="163">
        <v>2.2000000000000002</v>
      </c>
      <c r="B19" s="62" t="s">
        <v>31</v>
      </c>
      <c r="C19" s="167"/>
      <c r="D19" s="168"/>
      <c r="E19" s="172"/>
      <c r="F19" s="170"/>
    </row>
    <row r="20" spans="1:6" ht="15" customHeight="1" x14ac:dyDescent="0.2">
      <c r="A20" s="164" t="s">
        <v>32</v>
      </c>
      <c r="B20" s="127" t="s">
        <v>22</v>
      </c>
      <c r="C20" s="167">
        <v>0</v>
      </c>
      <c r="D20" s="173" t="s">
        <v>11</v>
      </c>
      <c r="E20" s="174">
        <v>27</v>
      </c>
      <c r="F20" s="170">
        <f t="shared" ref="F20:F24" si="2">C20*E20</f>
        <v>0</v>
      </c>
    </row>
    <row r="21" spans="1:6" ht="15" customHeight="1" x14ac:dyDescent="0.2">
      <c r="A21" s="164" t="s">
        <v>33</v>
      </c>
      <c r="B21" s="127" t="s">
        <v>34</v>
      </c>
      <c r="C21" s="167">
        <f>C20</f>
        <v>0</v>
      </c>
      <c r="D21" s="173" t="s">
        <v>11</v>
      </c>
      <c r="E21" s="174">
        <f>ROUNDUP(32*150/75,0)</f>
        <v>64</v>
      </c>
      <c r="F21" s="170">
        <f t="shared" si="2"/>
        <v>0</v>
      </c>
    </row>
    <row r="22" spans="1:6" ht="15" customHeight="1" x14ac:dyDescent="0.2">
      <c r="A22" s="164" t="s">
        <v>35</v>
      </c>
      <c r="B22" s="127" t="s">
        <v>36</v>
      </c>
      <c r="C22" s="167">
        <v>0</v>
      </c>
      <c r="D22" s="173" t="s">
        <v>11</v>
      </c>
      <c r="E22" s="174">
        <f>ROUNDUP(18*300/110,0)</f>
        <v>50</v>
      </c>
      <c r="F22" s="170">
        <f t="shared" si="2"/>
        <v>0</v>
      </c>
    </row>
    <row r="23" spans="1:6" ht="15" customHeight="1" x14ac:dyDescent="0.2">
      <c r="A23" s="164" t="s">
        <v>37</v>
      </c>
      <c r="B23" s="127" t="s">
        <v>28</v>
      </c>
      <c r="C23" s="167">
        <f>C22*0.2</f>
        <v>0</v>
      </c>
      <c r="D23" s="173" t="s">
        <v>11</v>
      </c>
      <c r="E23" s="174">
        <v>24</v>
      </c>
      <c r="F23" s="170">
        <f t="shared" si="2"/>
        <v>0</v>
      </c>
    </row>
    <row r="24" spans="1:6" ht="15" customHeight="1" x14ac:dyDescent="0.2">
      <c r="A24" s="164" t="s">
        <v>38</v>
      </c>
      <c r="B24" s="127" t="s">
        <v>30</v>
      </c>
      <c r="C24" s="167">
        <f>C22*0.1</f>
        <v>0</v>
      </c>
      <c r="D24" s="173" t="s">
        <v>11</v>
      </c>
      <c r="E24" s="174">
        <v>110</v>
      </c>
      <c r="F24" s="170">
        <f t="shared" si="2"/>
        <v>0</v>
      </c>
    </row>
    <row r="25" spans="1:6" ht="15" customHeight="1" x14ac:dyDescent="0.25">
      <c r="A25" s="163">
        <v>2.2999999999999998</v>
      </c>
      <c r="B25" s="62" t="s">
        <v>39</v>
      </c>
      <c r="C25" s="179"/>
      <c r="D25" s="179"/>
      <c r="E25" s="179"/>
      <c r="F25" s="180"/>
    </row>
    <row r="26" spans="1:6" ht="15" customHeight="1" x14ac:dyDescent="0.2">
      <c r="A26" s="164" t="s">
        <v>40</v>
      </c>
      <c r="B26" s="127" t="s">
        <v>41</v>
      </c>
      <c r="C26" s="167">
        <v>0</v>
      </c>
      <c r="D26" s="173" t="s">
        <v>11</v>
      </c>
      <c r="E26" s="174">
        <f>ROUNDUP(E14*0.85,0)</f>
        <v>23</v>
      </c>
      <c r="F26" s="170">
        <f t="shared" ref="F26:F30" si="3">C26*E26</f>
        <v>0</v>
      </c>
    </row>
    <row r="27" spans="1:6" ht="15" customHeight="1" x14ac:dyDescent="0.2">
      <c r="A27" s="164" t="s">
        <v>42</v>
      </c>
      <c r="B27" s="127" t="s">
        <v>24</v>
      </c>
      <c r="C27" s="167"/>
      <c r="D27" s="173" t="s">
        <v>11</v>
      </c>
      <c r="E27" s="174">
        <f>E15</f>
        <v>43</v>
      </c>
      <c r="F27" s="170">
        <f t="shared" si="3"/>
        <v>0</v>
      </c>
    </row>
    <row r="28" spans="1:6" ht="15" customHeight="1" x14ac:dyDescent="0.2">
      <c r="A28" s="164" t="s">
        <v>43</v>
      </c>
      <c r="B28" s="127" t="s">
        <v>44</v>
      </c>
      <c r="C28" s="167"/>
      <c r="D28" s="173" t="s">
        <v>11</v>
      </c>
      <c r="E28" s="174">
        <f>E16</f>
        <v>43</v>
      </c>
      <c r="F28" s="170">
        <f t="shared" si="3"/>
        <v>0</v>
      </c>
    </row>
    <row r="29" spans="1:6" ht="15" customHeight="1" x14ac:dyDescent="0.2">
      <c r="A29" s="164" t="s">
        <v>45</v>
      </c>
      <c r="B29" s="127" t="s">
        <v>28</v>
      </c>
      <c r="C29" s="167">
        <f>C28*0.2</f>
        <v>0</v>
      </c>
      <c r="D29" s="173" t="s">
        <v>11</v>
      </c>
      <c r="E29" s="174">
        <f>E17</f>
        <v>24</v>
      </c>
      <c r="F29" s="170">
        <f t="shared" si="3"/>
        <v>0</v>
      </c>
    </row>
    <row r="30" spans="1:6" ht="15" customHeight="1" x14ac:dyDescent="0.2">
      <c r="A30" s="164" t="s">
        <v>46</v>
      </c>
      <c r="B30" s="127" t="s">
        <v>30</v>
      </c>
      <c r="C30" s="167">
        <f>C28*0.1</f>
        <v>0</v>
      </c>
      <c r="D30" s="173" t="s">
        <v>11</v>
      </c>
      <c r="E30" s="174">
        <f>E18</f>
        <v>110</v>
      </c>
      <c r="F30" s="170">
        <f t="shared" si="3"/>
        <v>0</v>
      </c>
    </row>
    <row r="31" spans="1:6" x14ac:dyDescent="0.25">
      <c r="A31" s="165">
        <v>3</v>
      </c>
      <c r="B31" s="70" t="s">
        <v>47</v>
      </c>
      <c r="C31" s="71"/>
      <c r="D31" s="72"/>
      <c r="E31" s="79"/>
      <c r="F31" s="74">
        <f>SUM(F33:F45)</f>
        <v>225240.5</v>
      </c>
    </row>
    <row r="32" spans="1:6" ht="15" customHeight="1" x14ac:dyDescent="0.25">
      <c r="A32" s="177">
        <v>3.1</v>
      </c>
      <c r="B32" s="62" t="s">
        <v>48</v>
      </c>
      <c r="C32" s="15"/>
      <c r="D32" s="14"/>
      <c r="E32" s="53"/>
      <c r="F32" s="16"/>
    </row>
    <row r="33" spans="1:6" ht="15" customHeight="1" x14ac:dyDescent="0.2">
      <c r="A33" s="178" t="s">
        <v>49</v>
      </c>
      <c r="B33" s="61" t="s">
        <v>50</v>
      </c>
      <c r="C33" s="167">
        <f>145+141+114+120+12+37+118</f>
        <v>687</v>
      </c>
      <c r="D33" s="168" t="s">
        <v>51</v>
      </c>
      <c r="E33" s="169">
        <v>64</v>
      </c>
      <c r="F33" s="170">
        <f t="shared" ref="F33:F35" si="4">SUM(E33*C33)</f>
        <v>43968</v>
      </c>
    </row>
    <row r="34" spans="1:6" ht="15" customHeight="1" x14ac:dyDescent="0.2">
      <c r="A34" s="178" t="s">
        <v>52</v>
      </c>
      <c r="B34" s="61" t="s">
        <v>53</v>
      </c>
      <c r="C34" s="167">
        <v>0</v>
      </c>
      <c r="D34" s="168" t="s">
        <v>51</v>
      </c>
      <c r="E34" s="169">
        <v>61</v>
      </c>
      <c r="F34" s="170">
        <f t="shared" si="4"/>
        <v>0</v>
      </c>
    </row>
    <row r="35" spans="1:6" ht="15" customHeight="1" x14ac:dyDescent="0.2">
      <c r="A35" s="178" t="s">
        <v>54</v>
      </c>
      <c r="B35" s="61" t="s">
        <v>55</v>
      </c>
      <c r="C35" s="167">
        <f>50+80+40</f>
        <v>170</v>
      </c>
      <c r="D35" s="168" t="s">
        <v>51</v>
      </c>
      <c r="E35" s="169">
        <v>52</v>
      </c>
      <c r="F35" s="170">
        <f t="shared" si="4"/>
        <v>8840</v>
      </c>
    </row>
    <row r="36" spans="1:6" x14ac:dyDescent="0.25">
      <c r="A36" s="177">
        <v>3.2</v>
      </c>
      <c r="B36" s="62" t="s">
        <v>56</v>
      </c>
      <c r="C36" s="171"/>
      <c r="D36" s="171"/>
      <c r="E36" s="171"/>
      <c r="F36" s="171"/>
    </row>
    <row r="37" spans="1:6" ht="14.25" x14ac:dyDescent="0.2">
      <c r="A37" s="178" t="s">
        <v>57</v>
      </c>
      <c r="B37" s="61" t="s">
        <v>58</v>
      </c>
      <c r="C37" s="167">
        <f>3.5*5*4+1.5*3*4+115</f>
        <v>203</v>
      </c>
      <c r="D37" s="168" t="s">
        <v>11</v>
      </c>
      <c r="E37" s="169">
        <v>70</v>
      </c>
      <c r="F37" s="170">
        <f>SUM(E37*C37)</f>
        <v>14210</v>
      </c>
    </row>
    <row r="38" spans="1:6" ht="15" customHeight="1" x14ac:dyDescent="0.2">
      <c r="A38" s="178" t="s">
        <v>59</v>
      </c>
      <c r="B38" s="61" t="s">
        <v>60</v>
      </c>
      <c r="C38" s="167">
        <f>C37</f>
        <v>203</v>
      </c>
      <c r="D38" s="168" t="s">
        <v>11</v>
      </c>
      <c r="E38" s="169">
        <v>35</v>
      </c>
      <c r="F38" s="170">
        <f>SUM(E38*C38)</f>
        <v>7105</v>
      </c>
    </row>
    <row r="39" spans="1:6" ht="15" customHeight="1" x14ac:dyDescent="0.25">
      <c r="A39" s="177">
        <v>3.3</v>
      </c>
      <c r="B39" s="62" t="s">
        <v>61</v>
      </c>
      <c r="E39" s="169"/>
      <c r="F39" s="170"/>
    </row>
    <row r="40" spans="1:6" ht="15" customHeight="1" x14ac:dyDescent="0.2">
      <c r="A40" s="178" t="s">
        <v>62</v>
      </c>
      <c r="B40" s="61" t="s">
        <v>63</v>
      </c>
      <c r="C40" s="167">
        <v>7.5</v>
      </c>
      <c r="D40" s="168" t="s">
        <v>11</v>
      </c>
      <c r="E40" s="169">
        <f>ROUNDUP(E37*125/150,0)</f>
        <v>59</v>
      </c>
      <c r="F40" s="170">
        <f t="shared" ref="F40:F41" si="5">SUM(E40*C40)</f>
        <v>442.5</v>
      </c>
    </row>
    <row r="41" spans="1:6" ht="15" customHeight="1" x14ac:dyDescent="0.2">
      <c r="A41" s="178" t="s">
        <v>64</v>
      </c>
      <c r="B41" s="61" t="s">
        <v>65</v>
      </c>
      <c r="C41" s="167">
        <f>C40</f>
        <v>7.5</v>
      </c>
      <c r="D41" s="168" t="s">
        <v>11</v>
      </c>
      <c r="E41" s="169">
        <f>ROUNDUP(E38*0.8,0)</f>
        <v>28</v>
      </c>
      <c r="F41" s="170">
        <f t="shared" si="5"/>
        <v>210</v>
      </c>
    </row>
    <row r="42" spans="1:6" ht="15" customHeight="1" x14ac:dyDescent="0.25">
      <c r="A42" s="177">
        <v>3.4</v>
      </c>
      <c r="B42" s="62" t="s">
        <v>66</v>
      </c>
      <c r="E42" s="169"/>
      <c r="F42" s="170"/>
    </row>
    <row r="43" spans="1:6" ht="15" customHeight="1" x14ac:dyDescent="0.2">
      <c r="A43" s="178" t="s">
        <v>67</v>
      </c>
      <c r="B43" s="61" t="s">
        <v>63</v>
      </c>
      <c r="C43" s="167">
        <f>(136+133+104+103+40+5+117)*2.5</f>
        <v>1595</v>
      </c>
      <c r="D43" s="168" t="s">
        <v>11</v>
      </c>
      <c r="E43" s="169">
        <f>E40</f>
        <v>59</v>
      </c>
      <c r="F43" s="170">
        <f t="shared" ref="F43:F45" si="6">SUM(E43*C43)</f>
        <v>94105</v>
      </c>
    </row>
    <row r="44" spans="1:6" ht="14.25" x14ac:dyDescent="0.2">
      <c r="A44" s="178" t="s">
        <v>68</v>
      </c>
      <c r="B44" s="61" t="s">
        <v>65</v>
      </c>
      <c r="C44" s="167">
        <f>C43</f>
        <v>1595</v>
      </c>
      <c r="D44" s="168" t="s">
        <v>11</v>
      </c>
      <c r="E44" s="169">
        <f>ROUNDUP(E38*0.8,0)</f>
        <v>28</v>
      </c>
      <c r="F44" s="170">
        <f t="shared" si="6"/>
        <v>44660</v>
      </c>
    </row>
    <row r="45" spans="1:6" ht="15" customHeight="1" x14ac:dyDescent="0.2">
      <c r="A45" s="177">
        <v>3.5</v>
      </c>
      <c r="B45" s="61" t="s">
        <v>69</v>
      </c>
      <c r="C45" s="167">
        <v>18</v>
      </c>
      <c r="D45" s="168" t="s">
        <v>14</v>
      </c>
      <c r="E45" s="169">
        <v>650</v>
      </c>
      <c r="F45" s="170">
        <f t="shared" si="6"/>
        <v>11700</v>
      </c>
    </row>
    <row r="46" spans="1:6" ht="15" customHeight="1" x14ac:dyDescent="0.25">
      <c r="A46" s="165">
        <v>4</v>
      </c>
      <c r="B46" s="70" t="s">
        <v>70</v>
      </c>
      <c r="C46" s="71"/>
      <c r="D46" s="72"/>
      <c r="E46" s="79"/>
      <c r="F46" s="74">
        <f>SUM(F47:F60)</f>
        <v>197455</v>
      </c>
    </row>
    <row r="47" spans="1:6" ht="15" customHeight="1" x14ac:dyDescent="0.2">
      <c r="A47" s="177">
        <v>4.0999999999999996</v>
      </c>
      <c r="B47" s="61" t="s">
        <v>71</v>
      </c>
      <c r="C47" s="15">
        <v>8</v>
      </c>
      <c r="D47" s="14" t="s">
        <v>14</v>
      </c>
      <c r="E47" s="53">
        <v>4900</v>
      </c>
      <c r="F47" s="16">
        <f t="shared" ref="F47:F63" si="7">E47*C47</f>
        <v>39200</v>
      </c>
    </row>
    <row r="48" spans="1:6" ht="15" customHeight="1" x14ac:dyDescent="0.2">
      <c r="A48" s="177">
        <v>4.2</v>
      </c>
      <c r="B48" s="61" t="s">
        <v>72</v>
      </c>
      <c r="C48" s="15">
        <v>2</v>
      </c>
      <c r="D48" s="14" t="s">
        <v>14</v>
      </c>
      <c r="E48" s="53">
        <v>1650</v>
      </c>
      <c r="F48" s="16">
        <f t="shared" si="7"/>
        <v>3300</v>
      </c>
    </row>
    <row r="49" spans="1:6" ht="15" customHeight="1" x14ac:dyDescent="0.25">
      <c r="A49" s="177">
        <v>4.3</v>
      </c>
      <c r="B49" s="62" t="s">
        <v>73</v>
      </c>
      <c r="C49" s="15"/>
      <c r="D49" s="14"/>
      <c r="E49" s="53"/>
      <c r="F49" s="16"/>
    </row>
    <row r="50" spans="1:6" ht="15" customHeight="1" x14ac:dyDescent="0.2">
      <c r="A50" s="178" t="s">
        <v>74</v>
      </c>
      <c r="B50" s="61" t="s">
        <v>75</v>
      </c>
      <c r="C50" s="15">
        <v>1</v>
      </c>
      <c r="D50" s="14" t="s">
        <v>14</v>
      </c>
      <c r="E50" s="53">
        <v>4200</v>
      </c>
      <c r="F50" s="16">
        <f t="shared" si="7"/>
        <v>4200</v>
      </c>
    </row>
    <row r="51" spans="1:6" ht="14.25" x14ac:dyDescent="0.2">
      <c r="A51" s="178" t="s">
        <v>76</v>
      </c>
      <c r="B51" s="61" t="s">
        <v>77</v>
      </c>
      <c r="C51" s="15">
        <v>0</v>
      </c>
      <c r="D51" s="14" t="s">
        <v>14</v>
      </c>
      <c r="E51" s="53">
        <v>5300</v>
      </c>
      <c r="F51" s="16">
        <f t="shared" si="7"/>
        <v>0</v>
      </c>
    </row>
    <row r="52" spans="1:6" ht="15" customHeight="1" x14ac:dyDescent="0.25">
      <c r="A52" s="177">
        <v>4.4000000000000004</v>
      </c>
      <c r="B52" s="62" t="s">
        <v>78</v>
      </c>
      <c r="C52" s="15"/>
      <c r="D52" s="14"/>
      <c r="E52" s="53"/>
      <c r="F52" s="16"/>
    </row>
    <row r="53" spans="1:6" ht="15" customHeight="1" x14ac:dyDescent="0.2">
      <c r="A53" s="178" t="s">
        <v>79</v>
      </c>
      <c r="B53" s="61" t="s">
        <v>80</v>
      </c>
      <c r="C53" s="15">
        <v>122</v>
      </c>
      <c r="D53" s="14" t="s">
        <v>51</v>
      </c>
      <c r="E53" s="53">
        <v>325</v>
      </c>
      <c r="F53" s="16">
        <f t="shared" si="7"/>
        <v>39650</v>
      </c>
    </row>
    <row r="54" spans="1:6" ht="15" customHeight="1" x14ac:dyDescent="0.2">
      <c r="A54" s="178" t="s">
        <v>81</v>
      </c>
      <c r="B54" s="61" t="s">
        <v>82</v>
      </c>
      <c r="C54" s="15">
        <v>146</v>
      </c>
      <c r="D54" s="14" t="s">
        <v>51</v>
      </c>
      <c r="E54" s="53">
        <v>480</v>
      </c>
      <c r="F54" s="16">
        <f t="shared" si="7"/>
        <v>70080</v>
      </c>
    </row>
    <row r="55" spans="1:6" ht="15" customHeight="1" x14ac:dyDescent="0.2">
      <c r="A55" s="178" t="s">
        <v>83</v>
      </c>
      <c r="B55" s="61" t="s">
        <v>84</v>
      </c>
      <c r="C55" s="15">
        <v>30</v>
      </c>
      <c r="D55" s="14" t="s">
        <v>51</v>
      </c>
      <c r="E55" s="53">
        <v>600</v>
      </c>
      <c r="F55" s="16">
        <f t="shared" si="7"/>
        <v>18000</v>
      </c>
    </row>
    <row r="56" spans="1:6" ht="15" customHeight="1" x14ac:dyDescent="0.2">
      <c r="A56" s="178" t="s">
        <v>85</v>
      </c>
      <c r="B56" s="61" t="s">
        <v>86</v>
      </c>
      <c r="C56" s="15">
        <v>0</v>
      </c>
      <c r="D56" s="14" t="s">
        <v>51</v>
      </c>
      <c r="E56" s="53">
        <v>750</v>
      </c>
      <c r="F56" s="16">
        <f t="shared" si="7"/>
        <v>0</v>
      </c>
    </row>
    <row r="57" spans="1:6" ht="15" customHeight="1" x14ac:dyDescent="0.25">
      <c r="A57" s="177">
        <v>4.5</v>
      </c>
      <c r="B57" s="62" t="s">
        <v>87</v>
      </c>
      <c r="C57" s="15"/>
      <c r="D57" s="14"/>
      <c r="E57" s="53"/>
      <c r="F57" s="16"/>
    </row>
    <row r="58" spans="1:6" ht="15" customHeight="1" x14ac:dyDescent="0.2">
      <c r="A58" s="178" t="s">
        <v>88</v>
      </c>
      <c r="B58" s="61" t="s">
        <v>89</v>
      </c>
      <c r="C58" s="15">
        <v>0</v>
      </c>
      <c r="D58" s="14" t="s">
        <v>14</v>
      </c>
      <c r="E58" s="53">
        <v>3800</v>
      </c>
      <c r="F58" s="16">
        <f t="shared" ref="F58" si="8">E58*C58</f>
        <v>0</v>
      </c>
    </row>
    <row r="59" spans="1:6" ht="15" customHeight="1" x14ac:dyDescent="0.2">
      <c r="A59" s="177">
        <v>4.5999999999999996</v>
      </c>
      <c r="B59" s="127" t="s">
        <v>90</v>
      </c>
      <c r="C59" s="15">
        <f>C33+C35</f>
        <v>857</v>
      </c>
      <c r="D59" s="128" t="s">
        <v>51</v>
      </c>
      <c r="E59" s="53">
        <v>25</v>
      </c>
      <c r="F59" s="16">
        <f t="shared" si="7"/>
        <v>21425</v>
      </c>
    </row>
    <row r="60" spans="1:6" ht="15" customHeight="1" x14ac:dyDescent="0.2">
      <c r="A60" s="177">
        <v>4.7</v>
      </c>
      <c r="B60" s="127" t="s">
        <v>91</v>
      </c>
      <c r="C60" s="15">
        <v>4</v>
      </c>
      <c r="D60" s="128" t="s">
        <v>92</v>
      </c>
      <c r="E60" s="53">
        <v>400</v>
      </c>
      <c r="F60" s="16">
        <f t="shared" si="7"/>
        <v>1600</v>
      </c>
    </row>
    <row r="61" spans="1:6" ht="15" customHeight="1" x14ac:dyDescent="0.25">
      <c r="A61" s="165">
        <v>5</v>
      </c>
      <c r="B61" s="70" t="s">
        <v>93</v>
      </c>
      <c r="C61" s="71"/>
      <c r="D61" s="72"/>
      <c r="E61" s="73"/>
      <c r="F61" s="74">
        <f>SUM(F62:F63)</f>
        <v>0</v>
      </c>
    </row>
    <row r="62" spans="1:6" ht="15" customHeight="1" x14ac:dyDescent="0.2">
      <c r="A62" s="177">
        <v>5.0999999999999996</v>
      </c>
      <c r="B62" s="61" t="s">
        <v>94</v>
      </c>
      <c r="C62" s="167">
        <v>0</v>
      </c>
      <c r="D62" s="14" t="s">
        <v>14</v>
      </c>
      <c r="E62" s="53">
        <v>280000</v>
      </c>
      <c r="F62" s="16">
        <f t="shared" si="7"/>
        <v>0</v>
      </c>
    </row>
    <row r="63" spans="1:6" ht="15" customHeight="1" x14ac:dyDescent="0.2">
      <c r="A63" s="177">
        <v>5.2</v>
      </c>
      <c r="B63" s="61" t="s">
        <v>95</v>
      </c>
      <c r="C63" s="167">
        <v>0</v>
      </c>
      <c r="D63" s="14" t="s">
        <v>14</v>
      </c>
      <c r="E63" s="53"/>
      <c r="F63" s="16">
        <f t="shared" si="7"/>
        <v>0</v>
      </c>
    </row>
    <row r="64" spans="1:6" ht="15" customHeight="1" x14ac:dyDescent="0.25">
      <c r="A64" s="165">
        <v>6</v>
      </c>
      <c r="B64" s="70" t="s">
        <v>96</v>
      </c>
      <c r="C64" s="71"/>
      <c r="D64" s="72"/>
      <c r="E64" s="79"/>
      <c r="F64" s="74">
        <f>SUM(F65:F67)</f>
        <v>7312.5</v>
      </c>
    </row>
    <row r="65" spans="1:6" ht="15" customHeight="1" x14ac:dyDescent="0.2">
      <c r="A65" s="177">
        <v>6.1</v>
      </c>
      <c r="B65" s="61" t="s">
        <v>97</v>
      </c>
      <c r="C65" s="15">
        <v>10</v>
      </c>
      <c r="D65" s="14" t="s">
        <v>14</v>
      </c>
      <c r="E65" s="53">
        <v>50</v>
      </c>
      <c r="F65" s="16">
        <f t="shared" ref="F65:F67" si="9">E65*C65</f>
        <v>500</v>
      </c>
    </row>
    <row r="66" spans="1:6" ht="15" customHeight="1" x14ac:dyDescent="0.2">
      <c r="A66" s="177">
        <v>6.2</v>
      </c>
      <c r="B66" s="61" t="s">
        <v>98</v>
      </c>
      <c r="C66" s="15">
        <v>0</v>
      </c>
      <c r="D66" s="14" t="s">
        <v>11</v>
      </c>
      <c r="E66" s="53">
        <v>60</v>
      </c>
      <c r="F66" s="16">
        <f t="shared" si="9"/>
        <v>0</v>
      </c>
    </row>
    <row r="67" spans="1:6" ht="15" customHeight="1" x14ac:dyDescent="0.2">
      <c r="A67" s="177">
        <v>6.3</v>
      </c>
      <c r="B67" s="61" t="s">
        <v>99</v>
      </c>
      <c r="C67" s="15">
        <f>ROUNDUP(45+6.7*70+8.8*48+57*3.2+72*3.5+32*5+15*3+15*3+28*3.2+14*5+38*3.2+18*4.5+56*3.2+13*4.5+33*3.2+37*5.5+15*5.5+14*8,0)</f>
        <v>2725</v>
      </c>
      <c r="D67" s="14" t="s">
        <v>11</v>
      </c>
      <c r="E67" s="53">
        <v>2.5</v>
      </c>
      <c r="F67" s="16">
        <f t="shared" si="9"/>
        <v>6812.5</v>
      </c>
    </row>
    <row r="68" spans="1:6" ht="15" customHeight="1" x14ac:dyDescent="0.25">
      <c r="A68" s="165">
        <v>7</v>
      </c>
      <c r="B68" s="70" t="s">
        <v>100</v>
      </c>
      <c r="C68" s="71"/>
      <c r="D68" s="72"/>
      <c r="E68" s="73"/>
      <c r="F68" s="74">
        <f>SUM(F69:F72)</f>
        <v>136160</v>
      </c>
    </row>
    <row r="69" spans="1:6" ht="15" customHeight="1" x14ac:dyDescent="0.2">
      <c r="A69" s="177">
        <v>7.1</v>
      </c>
      <c r="B69" s="61" t="s">
        <v>101</v>
      </c>
      <c r="C69" s="15">
        <v>0</v>
      </c>
      <c r="D69" s="14" t="s">
        <v>14</v>
      </c>
      <c r="E69" s="53">
        <v>100000</v>
      </c>
      <c r="F69" s="16">
        <f t="shared" ref="F69:F71" si="10">E69*C69</f>
        <v>0</v>
      </c>
    </row>
    <row r="70" spans="1:6" ht="15" customHeight="1" x14ac:dyDescent="0.2">
      <c r="A70" s="177">
        <v>7.2</v>
      </c>
      <c r="B70" s="61" t="s">
        <v>102</v>
      </c>
      <c r="C70" s="15">
        <v>1</v>
      </c>
      <c r="D70" s="14" t="s">
        <v>14</v>
      </c>
      <c r="E70" s="53">
        <v>80000</v>
      </c>
      <c r="F70" s="16">
        <f t="shared" si="10"/>
        <v>80000</v>
      </c>
    </row>
    <row r="71" spans="1:6" ht="15" customHeight="1" x14ac:dyDescent="0.2">
      <c r="A71" s="177">
        <v>7.3</v>
      </c>
      <c r="B71" s="61" t="s">
        <v>103</v>
      </c>
      <c r="C71" s="15">
        <v>240</v>
      </c>
      <c r="D71" s="14" t="s">
        <v>51</v>
      </c>
      <c r="E71" s="53">
        <v>160</v>
      </c>
      <c r="F71" s="16">
        <f t="shared" si="10"/>
        <v>38400</v>
      </c>
    </row>
    <row r="72" spans="1:6" ht="15" customHeight="1" x14ac:dyDescent="0.2">
      <c r="A72" s="177">
        <v>7.4</v>
      </c>
      <c r="B72" s="61" t="s">
        <v>104</v>
      </c>
      <c r="C72" s="15">
        <v>15</v>
      </c>
      <c r="D72" s="14" t="s">
        <v>105</v>
      </c>
      <c r="E72" s="53">
        <f>SUM(F69:F71)</f>
        <v>118400</v>
      </c>
      <c r="F72" s="16">
        <f>E72*C72/100</f>
        <v>17760</v>
      </c>
    </row>
    <row r="73" spans="1:6" ht="15" customHeight="1" x14ac:dyDescent="0.25">
      <c r="A73" s="165">
        <v>8</v>
      </c>
      <c r="B73" s="70" t="s">
        <v>106</v>
      </c>
      <c r="C73" s="71"/>
      <c r="D73" s="72"/>
      <c r="E73" s="73"/>
      <c r="F73" s="74">
        <f>SUM(F74:F79)</f>
        <v>53161.902999999998</v>
      </c>
    </row>
    <row r="74" spans="1:6" ht="15" customHeight="1" x14ac:dyDescent="0.2">
      <c r="A74" s="177">
        <v>8.1</v>
      </c>
      <c r="B74" s="61" t="s">
        <v>107</v>
      </c>
      <c r="C74" s="15">
        <v>1</v>
      </c>
      <c r="D74" s="14" t="s">
        <v>14</v>
      </c>
      <c r="E74" s="53">
        <v>12000</v>
      </c>
      <c r="F74" s="16">
        <f t="shared" ref="F74:F76" si="11">C74*E74</f>
        <v>12000</v>
      </c>
    </row>
    <row r="75" spans="1:6" ht="15" customHeight="1" x14ac:dyDescent="0.2">
      <c r="A75" s="177">
        <v>8.1999999999999993</v>
      </c>
      <c r="B75" s="61" t="s">
        <v>108</v>
      </c>
      <c r="C75" s="15">
        <v>41</v>
      </c>
      <c r="D75" s="14" t="s">
        <v>14</v>
      </c>
      <c r="E75" s="53">
        <v>280</v>
      </c>
      <c r="F75" s="16">
        <f t="shared" si="11"/>
        <v>11480</v>
      </c>
    </row>
    <row r="76" spans="1:6" ht="15" customHeight="1" x14ac:dyDescent="0.2">
      <c r="A76" s="177">
        <v>8.3000000000000007</v>
      </c>
      <c r="B76" s="61" t="s">
        <v>109</v>
      </c>
      <c r="C76" s="15">
        <v>1</v>
      </c>
      <c r="D76" s="14" t="s">
        <v>14</v>
      </c>
      <c r="E76" s="53">
        <f>0.015*(F46+F31+F12)</f>
        <v>14969.028</v>
      </c>
      <c r="F76" s="16">
        <f t="shared" si="11"/>
        <v>14969.028</v>
      </c>
    </row>
    <row r="77" spans="1:6" ht="15" customHeight="1" x14ac:dyDescent="0.2">
      <c r="A77" s="177">
        <v>8.4</v>
      </c>
      <c r="B77" s="61" t="s">
        <v>110</v>
      </c>
      <c r="C77" s="15">
        <v>1</v>
      </c>
      <c r="D77" s="14" t="s">
        <v>14</v>
      </c>
      <c r="E77" s="53">
        <f>0.15*F64</f>
        <v>1096.875</v>
      </c>
      <c r="F77" s="16">
        <f>C77*E77</f>
        <v>1096.875</v>
      </c>
    </row>
    <row r="78" spans="1:6" ht="15" customHeight="1" x14ac:dyDescent="0.2">
      <c r="A78" s="177">
        <v>8.5</v>
      </c>
      <c r="B78" s="61" t="s">
        <v>111</v>
      </c>
      <c r="C78" s="15">
        <v>10</v>
      </c>
      <c r="D78" s="14" t="s">
        <v>112</v>
      </c>
      <c r="E78" s="53">
        <f>F62*0.015</f>
        <v>0</v>
      </c>
      <c r="F78" s="16">
        <f>C78*E78</f>
        <v>0</v>
      </c>
    </row>
    <row r="79" spans="1:6" ht="14.25" x14ac:dyDescent="0.2">
      <c r="A79" s="177">
        <v>8.6</v>
      </c>
      <c r="B79" s="61" t="s">
        <v>113</v>
      </c>
      <c r="C79" s="15">
        <v>1</v>
      </c>
      <c r="D79" s="14" t="s">
        <v>14</v>
      </c>
      <c r="E79" s="53">
        <f>0.1*F68</f>
        <v>13616</v>
      </c>
      <c r="F79" s="16">
        <f>C79*E79</f>
        <v>13616</v>
      </c>
    </row>
    <row r="80" spans="1:6" ht="15" customHeight="1" x14ac:dyDescent="0.25">
      <c r="A80" s="165">
        <v>9</v>
      </c>
      <c r="B80" s="70" t="s">
        <v>114</v>
      </c>
      <c r="C80" s="71"/>
      <c r="D80" s="72"/>
      <c r="E80" s="73"/>
      <c r="F80" s="74">
        <f>SUM(F81:F83)</f>
        <v>10000</v>
      </c>
    </row>
    <row r="81" spans="1:6" ht="15" customHeight="1" x14ac:dyDescent="0.2">
      <c r="A81" s="177">
        <v>9.1</v>
      </c>
      <c r="B81" s="61" t="s">
        <v>130</v>
      </c>
      <c r="C81" s="15">
        <v>1</v>
      </c>
      <c r="D81" s="14" t="s">
        <v>14</v>
      </c>
      <c r="E81" s="53">
        <v>10000</v>
      </c>
      <c r="F81" s="16">
        <f t="shared" ref="F81" si="12">C81*E81</f>
        <v>10000</v>
      </c>
    </row>
    <row r="82" spans="1:6" ht="15" customHeight="1" x14ac:dyDescent="0.2">
      <c r="A82" s="177"/>
      <c r="B82" s="61"/>
      <c r="C82" s="15"/>
      <c r="D82" s="14"/>
      <c r="E82" s="53"/>
      <c r="F82" s="16"/>
    </row>
    <row r="83" spans="1:6" ht="15" customHeight="1" x14ac:dyDescent="0.2">
      <c r="A83" s="177"/>
      <c r="B83" s="61"/>
      <c r="C83" s="15"/>
      <c r="D83" s="14"/>
      <c r="E83" s="53"/>
      <c r="F83" s="16"/>
    </row>
    <row r="84" spans="1:6" ht="15" customHeight="1" x14ac:dyDescent="0.25">
      <c r="A84" s="92"/>
      <c r="B84" s="160" t="s">
        <v>115</v>
      </c>
      <c r="C84" s="75"/>
      <c r="D84" s="76"/>
      <c r="E84" s="83"/>
      <c r="F84" s="181">
        <f>SUM(F5,F12,F31,F46,F61,F64,F68,F73,F80)</f>
        <v>1378169.155</v>
      </c>
    </row>
    <row r="85" spans="1:6" ht="15" customHeight="1" x14ac:dyDescent="0.25">
      <c r="A85" s="165">
        <v>10</v>
      </c>
      <c r="B85" s="70" t="s">
        <v>116</v>
      </c>
      <c r="C85" s="71"/>
      <c r="D85" s="72"/>
      <c r="E85" s="73"/>
      <c r="F85" s="74"/>
    </row>
    <row r="86" spans="1:6" ht="15" customHeight="1" x14ac:dyDescent="0.2">
      <c r="A86" s="177">
        <v>10.1</v>
      </c>
      <c r="B86" s="61" t="s">
        <v>117</v>
      </c>
      <c r="C86" s="166">
        <v>3.25</v>
      </c>
      <c r="D86" s="14" t="s">
        <v>105</v>
      </c>
      <c r="E86" s="175"/>
      <c r="F86" s="176">
        <f>C86%*F$84</f>
        <v>44790.497537499999</v>
      </c>
    </row>
    <row r="87" spans="1:6" ht="15" customHeight="1" x14ac:dyDescent="0.2">
      <c r="A87" s="177">
        <v>10.199999999999999</v>
      </c>
      <c r="B87" s="61" t="s">
        <v>118</v>
      </c>
      <c r="C87" s="166">
        <v>1</v>
      </c>
      <c r="D87" s="14" t="s">
        <v>105</v>
      </c>
      <c r="E87" s="175"/>
      <c r="F87" s="176">
        <f t="shared" ref="F87:F93" si="13">C87%*F$84</f>
        <v>13781.691550000001</v>
      </c>
    </row>
    <row r="88" spans="1:6" ht="15" customHeight="1" x14ac:dyDescent="0.2">
      <c r="A88" s="177">
        <v>10.3</v>
      </c>
      <c r="B88" s="61" t="s">
        <v>119</v>
      </c>
      <c r="C88" s="166">
        <v>5</v>
      </c>
      <c r="D88" s="14" t="s">
        <v>105</v>
      </c>
      <c r="E88" s="175"/>
      <c r="F88" s="176">
        <f t="shared" si="13"/>
        <v>68908.457750000001</v>
      </c>
    </row>
    <row r="89" spans="1:6" ht="15" customHeight="1" x14ac:dyDescent="0.2">
      <c r="A89" s="177">
        <v>10.4</v>
      </c>
      <c r="B89" s="61" t="s">
        <v>120</v>
      </c>
      <c r="C89" s="166">
        <v>0.5</v>
      </c>
      <c r="D89" s="14" t="s">
        <v>105</v>
      </c>
      <c r="E89" s="175"/>
      <c r="F89" s="176">
        <f t="shared" si="13"/>
        <v>6890.8457750000007</v>
      </c>
    </row>
    <row r="90" spans="1:6" ht="15" customHeight="1" x14ac:dyDescent="0.2">
      <c r="A90" s="177">
        <v>10.5</v>
      </c>
      <c r="B90" s="61" t="s">
        <v>121</v>
      </c>
      <c r="C90" s="166">
        <v>5</v>
      </c>
      <c r="D90" s="14" t="s">
        <v>105</v>
      </c>
      <c r="E90" s="175"/>
      <c r="F90" s="176">
        <f t="shared" si="13"/>
        <v>68908.457750000001</v>
      </c>
    </row>
    <row r="91" spans="1:6" ht="15" customHeight="1" x14ac:dyDescent="0.2">
      <c r="A91" s="177">
        <v>10.6</v>
      </c>
      <c r="B91" s="61" t="s">
        <v>122</v>
      </c>
      <c r="C91" s="166">
        <v>9</v>
      </c>
      <c r="D91" s="14" t="s">
        <v>105</v>
      </c>
      <c r="E91" s="175"/>
      <c r="F91" s="176">
        <f t="shared" si="13"/>
        <v>124035.22395</v>
      </c>
    </row>
    <row r="92" spans="1:6" ht="15" customHeight="1" x14ac:dyDescent="0.2">
      <c r="A92" s="177">
        <v>10.7</v>
      </c>
      <c r="B92" s="61" t="s">
        <v>123</v>
      </c>
      <c r="C92" s="166">
        <v>2.5</v>
      </c>
      <c r="D92" s="14" t="s">
        <v>105</v>
      </c>
      <c r="E92" s="175"/>
      <c r="F92" s="176">
        <f t="shared" si="13"/>
        <v>34454.228875000001</v>
      </c>
    </row>
    <row r="93" spans="1:6" ht="15" customHeight="1" x14ac:dyDescent="0.2">
      <c r="A93" s="177">
        <v>10.8</v>
      </c>
      <c r="B93" s="61" t="s">
        <v>124</v>
      </c>
      <c r="C93" s="166">
        <v>15</v>
      </c>
      <c r="D93" s="14" t="s">
        <v>105</v>
      </c>
      <c r="E93" s="175"/>
      <c r="F93" s="176">
        <f t="shared" si="13"/>
        <v>206725.37325</v>
      </c>
    </row>
    <row r="94" spans="1:6" ht="15" customHeight="1" x14ac:dyDescent="0.25">
      <c r="A94" s="92"/>
      <c r="B94" s="160" t="s">
        <v>125</v>
      </c>
      <c r="C94" s="75"/>
      <c r="D94" s="76"/>
      <c r="E94" s="83"/>
      <c r="F94" s="181">
        <f>SUM(F84:F93)</f>
        <v>1946663.9314375003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F94"/>
  <sheetViews>
    <sheetView workbookViewId="0">
      <selection activeCell="F94" sqref="F94"/>
    </sheetView>
  </sheetViews>
  <sheetFormatPr defaultColWidth="9.140625" defaultRowHeight="15" customHeight="1" x14ac:dyDescent="0.2"/>
  <cols>
    <col min="1" max="1" width="12.7109375" style="162" customWidth="1"/>
    <col min="2" max="2" width="50.7109375" style="162" customWidth="1"/>
    <col min="3" max="4" width="12.7109375" style="162" customWidth="1"/>
    <col min="5" max="6" width="15.7109375" style="162" customWidth="1"/>
    <col min="7" max="16384" width="9.140625" style="162"/>
  </cols>
  <sheetData>
    <row r="1" spans="1:6" ht="15" customHeight="1" x14ac:dyDescent="0.25">
      <c r="A1" s="1" t="s">
        <v>0</v>
      </c>
      <c r="F1" s="161">
        <v>43544</v>
      </c>
    </row>
    <row r="2" spans="1:6" ht="15" customHeight="1" x14ac:dyDescent="0.25">
      <c r="A2" s="1" t="s">
        <v>131</v>
      </c>
    </row>
    <row r="4" spans="1:6" ht="30" x14ac:dyDescent="0.2">
      <c r="A4" s="182" t="s">
        <v>2</v>
      </c>
      <c r="B4" s="182" t="s">
        <v>3</v>
      </c>
      <c r="C4" s="182" t="s">
        <v>4</v>
      </c>
      <c r="D4" s="182" t="s">
        <v>5</v>
      </c>
      <c r="E4" s="183" t="s">
        <v>6</v>
      </c>
      <c r="F4" s="183" t="s">
        <v>7</v>
      </c>
    </row>
    <row r="5" spans="1:6" ht="15" customHeight="1" x14ac:dyDescent="0.25">
      <c r="A5" s="165">
        <v>1</v>
      </c>
      <c r="B5" s="70" t="s">
        <v>8</v>
      </c>
      <c r="C5" s="71"/>
      <c r="D5" s="72"/>
      <c r="E5" s="79"/>
      <c r="F5" s="74">
        <f>SUM(F6:F11)</f>
        <v>97435.983500000002</v>
      </c>
    </row>
    <row r="6" spans="1:6" ht="15" customHeight="1" x14ac:dyDescent="0.2">
      <c r="A6" s="177">
        <v>1.1000000000000001</v>
      </c>
      <c r="B6" s="127" t="s">
        <v>9</v>
      </c>
      <c r="C6" s="167">
        <f>C7</f>
        <v>2002.7</v>
      </c>
      <c r="D6" s="173" t="s">
        <v>11</v>
      </c>
      <c r="E6" s="174">
        <v>5</v>
      </c>
      <c r="F6" s="170">
        <f t="shared" ref="F6:F11" si="0">C6*E6</f>
        <v>10013.5</v>
      </c>
    </row>
    <row r="7" spans="1:6" ht="15" customHeight="1" x14ac:dyDescent="0.2">
      <c r="A7" s="177">
        <v>1.2</v>
      </c>
      <c r="B7" s="127" t="s">
        <v>12</v>
      </c>
      <c r="C7" s="167">
        <f>ROUNDUP(C33/2*5,0)+C43+C40+(C14+C20+C26)*0.2</f>
        <v>2002.7</v>
      </c>
      <c r="D7" s="173" t="s">
        <v>11</v>
      </c>
      <c r="E7" s="174">
        <v>7</v>
      </c>
      <c r="F7" s="170">
        <f t="shared" si="0"/>
        <v>14018.9</v>
      </c>
    </row>
    <row r="8" spans="1:6" ht="15" customHeight="1" x14ac:dyDescent="0.2">
      <c r="A8" s="177">
        <v>1.3</v>
      </c>
      <c r="B8" s="127" t="s">
        <v>13</v>
      </c>
      <c r="C8" s="167">
        <v>1</v>
      </c>
      <c r="D8" s="173" t="s">
        <v>14</v>
      </c>
      <c r="E8" s="174">
        <v>5000</v>
      </c>
      <c r="F8" s="170">
        <f t="shared" si="0"/>
        <v>5000</v>
      </c>
    </row>
    <row r="9" spans="1:6" ht="15" customHeight="1" x14ac:dyDescent="0.2">
      <c r="A9" s="177">
        <v>1.4</v>
      </c>
      <c r="B9" s="127" t="s">
        <v>15</v>
      </c>
      <c r="C9" s="167">
        <v>1</v>
      </c>
      <c r="D9" s="173" t="s">
        <v>14</v>
      </c>
      <c r="E9" s="174">
        <v>3600</v>
      </c>
      <c r="F9" s="170">
        <f t="shared" si="0"/>
        <v>3600</v>
      </c>
    </row>
    <row r="10" spans="1:6" ht="15" customHeight="1" x14ac:dyDescent="0.2">
      <c r="A10" s="177">
        <v>1.5</v>
      </c>
      <c r="B10" s="127" t="s">
        <v>16</v>
      </c>
      <c r="C10" s="167">
        <f>(C16*0.4+C37*0.25+C43*0.175+C17*0.3)*0.6+380</f>
        <v>1099.1495</v>
      </c>
      <c r="D10" s="173" t="s">
        <v>17</v>
      </c>
      <c r="E10" s="174">
        <v>45</v>
      </c>
      <c r="F10" s="170">
        <f t="shared" si="0"/>
        <v>49461.727500000001</v>
      </c>
    </row>
    <row r="11" spans="1:6" ht="15" customHeight="1" x14ac:dyDescent="0.2">
      <c r="A11" s="177">
        <v>1.6</v>
      </c>
      <c r="B11" s="127" t="s">
        <v>18</v>
      </c>
      <c r="C11" s="167">
        <f>(C16*0.4+C37*0.25+C43*0.175+C17*0.3)*0.4</f>
        <v>479.43299999999999</v>
      </c>
      <c r="D11" s="173" t="s">
        <v>17</v>
      </c>
      <c r="E11" s="174">
        <v>32</v>
      </c>
      <c r="F11" s="170">
        <f t="shared" si="0"/>
        <v>15341.856</v>
      </c>
    </row>
    <row r="12" spans="1:6" ht="15" customHeight="1" x14ac:dyDescent="0.25">
      <c r="A12" s="165">
        <v>2</v>
      </c>
      <c r="B12" s="70" t="s">
        <v>19</v>
      </c>
      <c r="C12" s="71"/>
      <c r="D12" s="72"/>
      <c r="E12" s="79"/>
      <c r="F12" s="74">
        <f>SUM(F14:F30)</f>
        <v>268840.60000000003</v>
      </c>
    </row>
    <row r="13" spans="1:6" ht="15" customHeight="1" x14ac:dyDescent="0.25">
      <c r="A13" s="163">
        <v>2.1</v>
      </c>
      <c r="B13" s="62" t="s">
        <v>20</v>
      </c>
      <c r="C13" s="167"/>
      <c r="D13" s="168"/>
      <c r="E13" s="172"/>
      <c r="F13" s="170"/>
    </row>
    <row r="14" spans="1:6" ht="15" customHeight="1" x14ac:dyDescent="0.2">
      <c r="A14" s="164" t="s">
        <v>21</v>
      </c>
      <c r="B14" s="127" t="s">
        <v>22</v>
      </c>
      <c r="C14" s="167">
        <f>521+3*300+223+161+146</f>
        <v>1951</v>
      </c>
      <c r="D14" s="173" t="s">
        <v>11</v>
      </c>
      <c r="E14" s="174">
        <v>27</v>
      </c>
      <c r="F14" s="170">
        <f t="shared" ref="F14:F18" si="1">C14*E14</f>
        <v>52677</v>
      </c>
    </row>
    <row r="15" spans="1:6" ht="15" customHeight="1" x14ac:dyDescent="0.2">
      <c r="A15" s="164" t="s">
        <v>23</v>
      </c>
      <c r="B15" s="127" t="s">
        <v>24</v>
      </c>
      <c r="C15" s="167">
        <f>C14</f>
        <v>1951</v>
      </c>
      <c r="D15" s="173" t="s">
        <v>11</v>
      </c>
      <c r="E15" s="174">
        <f>ROUNDUP(32*100/75,0)</f>
        <v>43</v>
      </c>
      <c r="F15" s="170">
        <f t="shared" si="1"/>
        <v>83893</v>
      </c>
    </row>
    <row r="16" spans="1:6" ht="15" customHeight="1" x14ac:dyDescent="0.2">
      <c r="A16" s="164" t="s">
        <v>25</v>
      </c>
      <c r="B16" s="127" t="s">
        <v>26</v>
      </c>
      <c r="C16" s="167">
        <f>C15+(C35*0.45)+(C33*0.75)</f>
        <v>2249.5</v>
      </c>
      <c r="D16" s="173" t="s">
        <v>11</v>
      </c>
      <c r="E16" s="174">
        <f>ROUNDUP(18*260/110,0)</f>
        <v>43</v>
      </c>
      <c r="F16" s="170">
        <f t="shared" si="1"/>
        <v>96728.5</v>
      </c>
    </row>
    <row r="17" spans="1:6" ht="15" customHeight="1" x14ac:dyDescent="0.2">
      <c r="A17" s="164" t="s">
        <v>27</v>
      </c>
      <c r="B17" s="127" t="s">
        <v>28</v>
      </c>
      <c r="C17" s="167">
        <f>C16*0.2</f>
        <v>449.90000000000003</v>
      </c>
      <c r="D17" s="173" t="s">
        <v>11</v>
      </c>
      <c r="E17" s="174">
        <v>24</v>
      </c>
      <c r="F17" s="170">
        <f t="shared" si="1"/>
        <v>10797.6</v>
      </c>
    </row>
    <row r="18" spans="1:6" ht="15" customHeight="1" x14ac:dyDescent="0.2">
      <c r="A18" s="164" t="s">
        <v>29</v>
      </c>
      <c r="B18" s="127" t="s">
        <v>30</v>
      </c>
      <c r="C18" s="167">
        <f>C16*0.1</f>
        <v>224.95000000000002</v>
      </c>
      <c r="D18" s="173" t="s">
        <v>11</v>
      </c>
      <c r="E18" s="174">
        <v>110</v>
      </c>
      <c r="F18" s="170">
        <f t="shared" si="1"/>
        <v>24744.500000000004</v>
      </c>
    </row>
    <row r="19" spans="1:6" ht="15" customHeight="1" x14ac:dyDescent="0.25">
      <c r="A19" s="163">
        <v>2.2000000000000002</v>
      </c>
      <c r="B19" s="62" t="s">
        <v>31</v>
      </c>
      <c r="C19" s="167"/>
      <c r="D19" s="168"/>
      <c r="E19" s="172"/>
      <c r="F19" s="170"/>
    </row>
    <row r="20" spans="1:6" ht="15" customHeight="1" x14ac:dyDescent="0.2">
      <c r="A20" s="164" t="s">
        <v>32</v>
      </c>
      <c r="B20" s="127" t="s">
        <v>22</v>
      </c>
      <c r="C20" s="167">
        <v>0</v>
      </c>
      <c r="D20" s="173" t="s">
        <v>11</v>
      </c>
      <c r="E20" s="174">
        <v>27</v>
      </c>
      <c r="F20" s="170">
        <f t="shared" ref="F20:F24" si="2">C20*E20</f>
        <v>0</v>
      </c>
    </row>
    <row r="21" spans="1:6" ht="15" customHeight="1" x14ac:dyDescent="0.2">
      <c r="A21" s="164" t="s">
        <v>33</v>
      </c>
      <c r="B21" s="127" t="s">
        <v>34</v>
      </c>
      <c r="C21" s="167">
        <f>C20</f>
        <v>0</v>
      </c>
      <c r="D21" s="173" t="s">
        <v>11</v>
      </c>
      <c r="E21" s="174">
        <f>ROUNDUP(32*150/75,0)</f>
        <v>64</v>
      </c>
      <c r="F21" s="170">
        <f t="shared" si="2"/>
        <v>0</v>
      </c>
    </row>
    <row r="22" spans="1:6" ht="15" customHeight="1" x14ac:dyDescent="0.2">
      <c r="A22" s="164" t="s">
        <v>35</v>
      </c>
      <c r="B22" s="127" t="s">
        <v>36</v>
      </c>
      <c r="C22" s="167">
        <v>0</v>
      </c>
      <c r="D22" s="173" t="s">
        <v>11</v>
      </c>
      <c r="E22" s="174">
        <f>ROUNDUP(18*300/110,0)</f>
        <v>50</v>
      </c>
      <c r="F22" s="170">
        <f t="shared" si="2"/>
        <v>0</v>
      </c>
    </row>
    <row r="23" spans="1:6" ht="15" customHeight="1" x14ac:dyDescent="0.2">
      <c r="A23" s="164" t="s">
        <v>37</v>
      </c>
      <c r="B23" s="127" t="s">
        <v>28</v>
      </c>
      <c r="C23" s="167">
        <f>C22*0.2</f>
        <v>0</v>
      </c>
      <c r="D23" s="173" t="s">
        <v>11</v>
      </c>
      <c r="E23" s="174">
        <v>24</v>
      </c>
      <c r="F23" s="170">
        <f t="shared" si="2"/>
        <v>0</v>
      </c>
    </row>
    <row r="24" spans="1:6" ht="15" customHeight="1" x14ac:dyDescent="0.2">
      <c r="A24" s="164" t="s">
        <v>38</v>
      </c>
      <c r="B24" s="127" t="s">
        <v>30</v>
      </c>
      <c r="C24" s="167">
        <f>C22*0.1</f>
        <v>0</v>
      </c>
      <c r="D24" s="173" t="s">
        <v>11</v>
      </c>
      <c r="E24" s="174">
        <v>110</v>
      </c>
      <c r="F24" s="170">
        <f t="shared" si="2"/>
        <v>0</v>
      </c>
    </row>
    <row r="25" spans="1:6" ht="15" customHeight="1" x14ac:dyDescent="0.25">
      <c r="A25" s="163">
        <v>2.2999999999999998</v>
      </c>
      <c r="B25" s="62" t="s">
        <v>39</v>
      </c>
      <c r="C25" s="179"/>
      <c r="D25" s="179"/>
      <c r="E25" s="179"/>
      <c r="F25" s="180"/>
    </row>
    <row r="26" spans="1:6" ht="15" customHeight="1" x14ac:dyDescent="0.2">
      <c r="A26" s="164" t="s">
        <v>40</v>
      </c>
      <c r="B26" s="127" t="s">
        <v>41</v>
      </c>
      <c r="C26" s="167">
        <v>0</v>
      </c>
      <c r="D26" s="173" t="s">
        <v>11</v>
      </c>
      <c r="E26" s="174">
        <f>ROUNDUP(E14*0.85,0)</f>
        <v>23</v>
      </c>
      <c r="F26" s="170">
        <f t="shared" ref="F26:F30" si="3">C26*E26</f>
        <v>0</v>
      </c>
    </row>
    <row r="27" spans="1:6" ht="15" customHeight="1" x14ac:dyDescent="0.2">
      <c r="A27" s="164" t="s">
        <v>42</v>
      </c>
      <c r="B27" s="127" t="s">
        <v>24</v>
      </c>
      <c r="C27" s="167">
        <v>0</v>
      </c>
      <c r="D27" s="173" t="s">
        <v>11</v>
      </c>
      <c r="E27" s="174">
        <f>E15</f>
        <v>43</v>
      </c>
      <c r="F27" s="170">
        <f t="shared" si="3"/>
        <v>0</v>
      </c>
    </row>
    <row r="28" spans="1:6" ht="15" customHeight="1" x14ac:dyDescent="0.2">
      <c r="A28" s="164" t="s">
        <v>43</v>
      </c>
      <c r="B28" s="127" t="s">
        <v>44</v>
      </c>
      <c r="C28" s="167">
        <v>0</v>
      </c>
      <c r="D28" s="173" t="s">
        <v>11</v>
      </c>
      <c r="E28" s="174">
        <f>E16</f>
        <v>43</v>
      </c>
      <c r="F28" s="170">
        <f t="shared" si="3"/>
        <v>0</v>
      </c>
    </row>
    <row r="29" spans="1:6" ht="15" customHeight="1" x14ac:dyDescent="0.2">
      <c r="A29" s="164" t="s">
        <v>45</v>
      </c>
      <c r="B29" s="127" t="s">
        <v>28</v>
      </c>
      <c r="C29" s="167">
        <f>C28*0.2</f>
        <v>0</v>
      </c>
      <c r="D29" s="173" t="s">
        <v>11</v>
      </c>
      <c r="E29" s="174">
        <f>E17</f>
        <v>24</v>
      </c>
      <c r="F29" s="170">
        <f t="shared" si="3"/>
        <v>0</v>
      </c>
    </row>
    <row r="30" spans="1:6" ht="15" customHeight="1" x14ac:dyDescent="0.2">
      <c r="A30" s="164" t="s">
        <v>46</v>
      </c>
      <c r="B30" s="127" t="s">
        <v>30</v>
      </c>
      <c r="C30" s="167">
        <f>C28*0.1</f>
        <v>0</v>
      </c>
      <c r="D30" s="173" t="s">
        <v>11</v>
      </c>
      <c r="E30" s="174">
        <f>E18</f>
        <v>110</v>
      </c>
      <c r="F30" s="170">
        <f t="shared" si="3"/>
        <v>0</v>
      </c>
    </row>
    <row r="31" spans="1:6" x14ac:dyDescent="0.25">
      <c r="A31" s="165">
        <v>3</v>
      </c>
      <c r="B31" s="70" t="s">
        <v>47</v>
      </c>
      <c r="C31" s="71"/>
      <c r="D31" s="72"/>
      <c r="E31" s="79"/>
      <c r="F31" s="74">
        <f>SUM(F33:F45)</f>
        <v>121850.5</v>
      </c>
    </row>
    <row r="32" spans="1:6" ht="15" customHeight="1" x14ac:dyDescent="0.25">
      <c r="A32" s="177">
        <v>3.1</v>
      </c>
      <c r="B32" s="62" t="s">
        <v>48</v>
      </c>
      <c r="C32" s="15"/>
      <c r="D32" s="14"/>
      <c r="E32" s="53"/>
      <c r="F32" s="16"/>
    </row>
    <row r="33" spans="1:6" ht="15" customHeight="1" x14ac:dyDescent="0.2">
      <c r="A33" s="178" t="s">
        <v>49</v>
      </c>
      <c r="B33" s="61" t="s">
        <v>50</v>
      </c>
      <c r="C33" s="167">
        <f>123+96+113</f>
        <v>332</v>
      </c>
      <c r="D33" s="168" t="s">
        <v>51</v>
      </c>
      <c r="E33" s="169">
        <v>64</v>
      </c>
      <c r="F33" s="170">
        <f t="shared" ref="F33:F35" si="4">SUM(E33*C33)</f>
        <v>21248</v>
      </c>
    </row>
    <row r="34" spans="1:6" ht="15" customHeight="1" x14ac:dyDescent="0.2">
      <c r="A34" s="178" t="s">
        <v>52</v>
      </c>
      <c r="B34" s="61" t="s">
        <v>53</v>
      </c>
      <c r="C34" s="167">
        <v>0</v>
      </c>
      <c r="D34" s="168" t="s">
        <v>51</v>
      </c>
      <c r="E34" s="169">
        <v>61</v>
      </c>
      <c r="F34" s="170">
        <f t="shared" si="4"/>
        <v>0</v>
      </c>
    </row>
    <row r="35" spans="1:6" ht="15" customHeight="1" x14ac:dyDescent="0.2">
      <c r="A35" s="178" t="s">
        <v>54</v>
      </c>
      <c r="B35" s="61" t="s">
        <v>55</v>
      </c>
      <c r="C35" s="167">
        <f>50+60</f>
        <v>110</v>
      </c>
      <c r="D35" s="168" t="s">
        <v>51</v>
      </c>
      <c r="E35" s="169">
        <v>52</v>
      </c>
      <c r="F35" s="170">
        <f t="shared" si="4"/>
        <v>5720</v>
      </c>
    </row>
    <row r="36" spans="1:6" x14ac:dyDescent="0.25">
      <c r="A36" s="177">
        <v>3.2</v>
      </c>
      <c r="B36" s="62" t="s">
        <v>56</v>
      </c>
      <c r="C36" s="171"/>
      <c r="D36" s="171"/>
      <c r="E36" s="171"/>
      <c r="F36" s="171"/>
    </row>
    <row r="37" spans="1:6" ht="14.25" x14ac:dyDescent="0.2">
      <c r="A37" s="178" t="s">
        <v>57</v>
      </c>
      <c r="B37" s="61" t="s">
        <v>58</v>
      </c>
      <c r="C37" s="167">
        <f>3.5*5*3+1.5*3*3+115</f>
        <v>181</v>
      </c>
      <c r="D37" s="168" t="s">
        <v>11</v>
      </c>
      <c r="E37" s="169">
        <v>70</v>
      </c>
      <c r="F37" s="170">
        <f>SUM(E37*C37)</f>
        <v>12670</v>
      </c>
    </row>
    <row r="38" spans="1:6" ht="15" customHeight="1" x14ac:dyDescent="0.2">
      <c r="A38" s="178" t="s">
        <v>59</v>
      </c>
      <c r="B38" s="61" t="s">
        <v>60</v>
      </c>
      <c r="C38" s="167">
        <f>C37</f>
        <v>181</v>
      </c>
      <c r="D38" s="168" t="s">
        <v>11</v>
      </c>
      <c r="E38" s="169">
        <v>35</v>
      </c>
      <c r="F38" s="170">
        <f>SUM(E38*C38)</f>
        <v>6335</v>
      </c>
    </row>
    <row r="39" spans="1:6" ht="15" customHeight="1" x14ac:dyDescent="0.25">
      <c r="A39" s="177">
        <v>3.3</v>
      </c>
      <c r="B39" s="62" t="s">
        <v>61</v>
      </c>
      <c r="E39" s="169"/>
      <c r="F39" s="170"/>
    </row>
    <row r="40" spans="1:6" ht="15" customHeight="1" x14ac:dyDescent="0.2">
      <c r="A40" s="178" t="s">
        <v>62</v>
      </c>
      <c r="B40" s="61" t="s">
        <v>63</v>
      </c>
      <c r="C40" s="167">
        <f>36*1.5+34*1.5</f>
        <v>105</v>
      </c>
      <c r="D40" s="168" t="s">
        <v>11</v>
      </c>
      <c r="E40" s="169">
        <f>ROUNDUP(E37*125/150,0)</f>
        <v>59</v>
      </c>
      <c r="F40" s="170">
        <f t="shared" ref="F40:F41" si="5">SUM(E40*C40)</f>
        <v>6195</v>
      </c>
    </row>
    <row r="41" spans="1:6" ht="15" customHeight="1" x14ac:dyDescent="0.2">
      <c r="A41" s="178" t="s">
        <v>64</v>
      </c>
      <c r="B41" s="61" t="s">
        <v>65</v>
      </c>
      <c r="C41" s="167">
        <f>C40</f>
        <v>105</v>
      </c>
      <c r="D41" s="168" t="s">
        <v>11</v>
      </c>
      <c r="E41" s="169">
        <f>ROUNDUP(E38*0.8,0)</f>
        <v>28</v>
      </c>
      <c r="F41" s="170">
        <f t="shared" si="5"/>
        <v>2940</v>
      </c>
    </row>
    <row r="42" spans="1:6" ht="15" customHeight="1" x14ac:dyDescent="0.25">
      <c r="A42" s="177">
        <v>3.4</v>
      </c>
      <c r="B42" s="62" t="s">
        <v>66</v>
      </c>
      <c r="E42" s="169"/>
      <c r="F42" s="170"/>
    </row>
    <row r="43" spans="1:6" ht="15" customHeight="1" x14ac:dyDescent="0.2">
      <c r="A43" s="178" t="s">
        <v>67</v>
      </c>
      <c r="B43" s="61" t="s">
        <v>63</v>
      </c>
      <c r="C43" s="167">
        <f>(65+120+53+16+9+8)*2.5</f>
        <v>677.5</v>
      </c>
      <c r="D43" s="168" t="s">
        <v>11</v>
      </c>
      <c r="E43" s="169">
        <f>E40</f>
        <v>59</v>
      </c>
      <c r="F43" s="170">
        <f t="shared" ref="F43:F45" si="6">SUM(E43*C43)</f>
        <v>39972.5</v>
      </c>
    </row>
    <row r="44" spans="1:6" ht="14.25" x14ac:dyDescent="0.2">
      <c r="A44" s="178" t="s">
        <v>68</v>
      </c>
      <c r="B44" s="61" t="s">
        <v>65</v>
      </c>
      <c r="C44" s="167">
        <f>C43</f>
        <v>677.5</v>
      </c>
      <c r="D44" s="168" t="s">
        <v>11</v>
      </c>
      <c r="E44" s="169">
        <f>ROUNDUP(E38*0.8,0)</f>
        <v>28</v>
      </c>
      <c r="F44" s="170">
        <f t="shared" si="6"/>
        <v>18970</v>
      </c>
    </row>
    <row r="45" spans="1:6" ht="15" customHeight="1" x14ac:dyDescent="0.2">
      <c r="A45" s="177">
        <v>3.5</v>
      </c>
      <c r="B45" s="61" t="s">
        <v>69</v>
      </c>
      <c r="C45" s="167">
        <v>12</v>
      </c>
      <c r="D45" s="168" t="s">
        <v>14</v>
      </c>
      <c r="E45" s="169">
        <v>650</v>
      </c>
      <c r="F45" s="170">
        <f t="shared" si="6"/>
        <v>7800</v>
      </c>
    </row>
    <row r="46" spans="1:6" ht="15" customHeight="1" x14ac:dyDescent="0.25">
      <c r="A46" s="165">
        <v>4</v>
      </c>
      <c r="B46" s="70" t="s">
        <v>70</v>
      </c>
      <c r="C46" s="71"/>
      <c r="D46" s="72"/>
      <c r="E46" s="79"/>
      <c r="F46" s="74">
        <f>SUM(F47:F60)</f>
        <v>177330</v>
      </c>
    </row>
    <row r="47" spans="1:6" ht="15" customHeight="1" x14ac:dyDescent="0.2">
      <c r="A47" s="177">
        <v>4.0999999999999996</v>
      </c>
      <c r="B47" s="61" t="s">
        <v>71</v>
      </c>
      <c r="C47" s="15">
        <v>8</v>
      </c>
      <c r="D47" s="14" t="s">
        <v>14</v>
      </c>
      <c r="E47" s="53">
        <v>4900</v>
      </c>
      <c r="F47" s="16">
        <f t="shared" ref="F47:F63" si="7">E47*C47</f>
        <v>39200</v>
      </c>
    </row>
    <row r="48" spans="1:6" ht="15" customHeight="1" x14ac:dyDescent="0.2">
      <c r="A48" s="177">
        <v>4.2</v>
      </c>
      <c r="B48" s="61" t="s">
        <v>72</v>
      </c>
      <c r="C48" s="15">
        <v>2</v>
      </c>
      <c r="D48" s="14" t="s">
        <v>14</v>
      </c>
      <c r="E48" s="53">
        <v>1650</v>
      </c>
      <c r="F48" s="16">
        <f t="shared" si="7"/>
        <v>3300</v>
      </c>
    </row>
    <row r="49" spans="1:6" ht="15" customHeight="1" x14ac:dyDescent="0.25">
      <c r="A49" s="177">
        <v>4.3</v>
      </c>
      <c r="B49" s="62" t="s">
        <v>73</v>
      </c>
      <c r="C49" s="15"/>
      <c r="D49" s="14"/>
      <c r="E49" s="53"/>
      <c r="F49" s="16"/>
    </row>
    <row r="50" spans="1:6" ht="15" customHeight="1" x14ac:dyDescent="0.2">
      <c r="A50" s="178" t="s">
        <v>74</v>
      </c>
      <c r="B50" s="61" t="s">
        <v>75</v>
      </c>
      <c r="C50" s="15">
        <v>1</v>
      </c>
      <c r="D50" s="14" t="s">
        <v>14</v>
      </c>
      <c r="E50" s="53">
        <v>4200</v>
      </c>
      <c r="F50" s="16">
        <f t="shared" si="7"/>
        <v>4200</v>
      </c>
    </row>
    <row r="51" spans="1:6" ht="14.25" x14ac:dyDescent="0.2">
      <c r="A51" s="178" t="s">
        <v>76</v>
      </c>
      <c r="B51" s="61" t="s">
        <v>77</v>
      </c>
      <c r="C51" s="15">
        <v>0</v>
      </c>
      <c r="D51" s="14" t="s">
        <v>14</v>
      </c>
      <c r="E51" s="53">
        <v>5300</v>
      </c>
      <c r="F51" s="16">
        <f t="shared" si="7"/>
        <v>0</v>
      </c>
    </row>
    <row r="52" spans="1:6" ht="15" customHeight="1" x14ac:dyDescent="0.25">
      <c r="A52" s="177">
        <v>4.4000000000000004</v>
      </c>
      <c r="B52" s="62" t="s">
        <v>78</v>
      </c>
      <c r="C52" s="15"/>
      <c r="D52" s="14"/>
      <c r="E52" s="53"/>
      <c r="F52" s="16"/>
    </row>
    <row r="53" spans="1:6" ht="15" customHeight="1" x14ac:dyDescent="0.2">
      <c r="A53" s="178" t="s">
        <v>79</v>
      </c>
      <c r="B53" s="61" t="s">
        <v>80</v>
      </c>
      <c r="C53" s="15">
        <v>92</v>
      </c>
      <c r="D53" s="14" t="s">
        <v>51</v>
      </c>
      <c r="E53" s="53">
        <v>325</v>
      </c>
      <c r="F53" s="16">
        <f t="shared" si="7"/>
        <v>29900</v>
      </c>
    </row>
    <row r="54" spans="1:6" ht="15" customHeight="1" x14ac:dyDescent="0.2">
      <c r="A54" s="178" t="s">
        <v>81</v>
      </c>
      <c r="B54" s="61" t="s">
        <v>82</v>
      </c>
      <c r="C54" s="15">
        <v>146</v>
      </c>
      <c r="D54" s="14" t="s">
        <v>51</v>
      </c>
      <c r="E54" s="53">
        <v>480</v>
      </c>
      <c r="F54" s="16">
        <f t="shared" si="7"/>
        <v>70080</v>
      </c>
    </row>
    <row r="55" spans="1:6" ht="15" customHeight="1" x14ac:dyDescent="0.2">
      <c r="A55" s="178" t="s">
        <v>83</v>
      </c>
      <c r="B55" s="61" t="s">
        <v>84</v>
      </c>
      <c r="C55" s="15">
        <v>30</v>
      </c>
      <c r="D55" s="14" t="s">
        <v>51</v>
      </c>
      <c r="E55" s="53">
        <v>600</v>
      </c>
      <c r="F55" s="16">
        <f t="shared" si="7"/>
        <v>18000</v>
      </c>
    </row>
    <row r="56" spans="1:6" ht="15" customHeight="1" x14ac:dyDescent="0.2">
      <c r="A56" s="178" t="s">
        <v>85</v>
      </c>
      <c r="B56" s="61" t="s">
        <v>86</v>
      </c>
      <c r="C56" s="15">
        <v>0</v>
      </c>
      <c r="D56" s="14" t="s">
        <v>51</v>
      </c>
      <c r="E56" s="53">
        <v>750</v>
      </c>
      <c r="F56" s="16">
        <f t="shared" si="7"/>
        <v>0</v>
      </c>
    </row>
    <row r="57" spans="1:6" ht="15" customHeight="1" x14ac:dyDescent="0.25">
      <c r="A57" s="177">
        <v>4.5</v>
      </c>
      <c r="B57" s="62" t="s">
        <v>87</v>
      </c>
      <c r="C57" s="15"/>
      <c r="D57" s="14"/>
      <c r="E57" s="53"/>
      <c r="F57" s="16"/>
    </row>
    <row r="58" spans="1:6" ht="15" customHeight="1" x14ac:dyDescent="0.2">
      <c r="A58" s="178" t="s">
        <v>88</v>
      </c>
      <c r="B58" s="61" t="s">
        <v>89</v>
      </c>
      <c r="C58" s="15">
        <v>0</v>
      </c>
      <c r="D58" s="14" t="s">
        <v>14</v>
      </c>
      <c r="E58" s="53">
        <v>3800</v>
      </c>
      <c r="F58" s="16">
        <f t="shared" ref="F58" si="8">E58*C58</f>
        <v>0</v>
      </c>
    </row>
    <row r="59" spans="1:6" ht="15" customHeight="1" x14ac:dyDescent="0.2">
      <c r="A59" s="177">
        <v>4.5</v>
      </c>
      <c r="B59" s="127" t="s">
        <v>90</v>
      </c>
      <c r="C59" s="15">
        <f>C33+C35</f>
        <v>442</v>
      </c>
      <c r="D59" s="128" t="s">
        <v>51</v>
      </c>
      <c r="E59" s="53">
        <v>25</v>
      </c>
      <c r="F59" s="16">
        <f t="shared" si="7"/>
        <v>11050</v>
      </c>
    </row>
    <row r="60" spans="1:6" ht="15" customHeight="1" x14ac:dyDescent="0.2">
      <c r="A60" s="177">
        <v>4.7</v>
      </c>
      <c r="B60" s="127" t="s">
        <v>91</v>
      </c>
      <c r="C60" s="15">
        <v>4</v>
      </c>
      <c r="D60" s="128" t="s">
        <v>92</v>
      </c>
      <c r="E60" s="53">
        <v>400</v>
      </c>
      <c r="F60" s="16">
        <f t="shared" si="7"/>
        <v>1600</v>
      </c>
    </row>
    <row r="61" spans="1:6" ht="15" customHeight="1" x14ac:dyDescent="0.25">
      <c r="A61" s="165">
        <v>5</v>
      </c>
      <c r="B61" s="70" t="s">
        <v>93</v>
      </c>
      <c r="C61" s="71"/>
      <c r="D61" s="72"/>
      <c r="E61" s="73"/>
      <c r="F61" s="74">
        <f>SUM(F62:F63)</f>
        <v>0</v>
      </c>
    </row>
    <row r="62" spans="1:6" ht="15" customHeight="1" x14ac:dyDescent="0.2">
      <c r="A62" s="177">
        <v>5.0999999999999996</v>
      </c>
      <c r="B62" s="61" t="s">
        <v>94</v>
      </c>
      <c r="C62" s="167">
        <v>0</v>
      </c>
      <c r="D62" s="14" t="s">
        <v>14</v>
      </c>
      <c r="E62" s="53">
        <v>280000</v>
      </c>
      <c r="F62" s="16">
        <f t="shared" si="7"/>
        <v>0</v>
      </c>
    </row>
    <row r="63" spans="1:6" ht="15" customHeight="1" x14ac:dyDescent="0.2">
      <c r="A63" s="177">
        <v>5.2</v>
      </c>
      <c r="B63" s="61" t="s">
        <v>95</v>
      </c>
      <c r="C63" s="167">
        <v>0</v>
      </c>
      <c r="D63" s="14" t="s">
        <v>14</v>
      </c>
      <c r="E63" s="53"/>
      <c r="F63" s="16">
        <f t="shared" si="7"/>
        <v>0</v>
      </c>
    </row>
    <row r="64" spans="1:6" ht="15" customHeight="1" x14ac:dyDescent="0.25">
      <c r="A64" s="165">
        <v>6</v>
      </c>
      <c r="B64" s="70" t="s">
        <v>96</v>
      </c>
      <c r="C64" s="71"/>
      <c r="D64" s="72"/>
      <c r="E64" s="79"/>
      <c r="F64" s="74">
        <f>SUM(F65:F67)</f>
        <v>29557.5</v>
      </c>
    </row>
    <row r="65" spans="1:6" ht="15" customHeight="1" x14ac:dyDescent="0.2">
      <c r="A65" s="177">
        <v>6.1</v>
      </c>
      <c r="B65" s="61" t="s">
        <v>97</v>
      </c>
      <c r="C65" s="15">
        <v>7</v>
      </c>
      <c r="D65" s="14" t="s">
        <v>14</v>
      </c>
      <c r="E65" s="53">
        <v>50</v>
      </c>
      <c r="F65" s="16">
        <f t="shared" ref="F65:F71" si="9">E65*C65</f>
        <v>350</v>
      </c>
    </row>
    <row r="66" spans="1:6" ht="15" customHeight="1" x14ac:dyDescent="0.2">
      <c r="A66" s="177">
        <v>6.2</v>
      </c>
      <c r="B66" s="61" t="s">
        <v>98</v>
      </c>
      <c r="C66" s="15">
        <v>0</v>
      </c>
      <c r="D66" s="14" t="s">
        <v>11</v>
      </c>
      <c r="E66" s="53">
        <v>60</v>
      </c>
      <c r="F66" s="16">
        <f t="shared" si="9"/>
        <v>0</v>
      </c>
    </row>
    <row r="67" spans="1:6" ht="15" customHeight="1" x14ac:dyDescent="0.2">
      <c r="A67" s="177">
        <v>6.3</v>
      </c>
      <c r="B67" s="61" t="s">
        <v>99</v>
      </c>
      <c r="C67" s="15">
        <f>ROUNDUP(35*5.4+25*4+37*3.5+38*3.5+14*3+36*4.8+36*2.6*35*3.3+48*2.2,0)</f>
        <v>11683</v>
      </c>
      <c r="D67" s="14" t="s">
        <v>11</v>
      </c>
      <c r="E67" s="53">
        <v>2.5</v>
      </c>
      <c r="F67" s="16">
        <f t="shared" si="9"/>
        <v>29207.5</v>
      </c>
    </row>
    <row r="68" spans="1:6" ht="15" customHeight="1" x14ac:dyDescent="0.25">
      <c r="A68" s="165">
        <v>7</v>
      </c>
      <c r="B68" s="70" t="s">
        <v>100</v>
      </c>
      <c r="C68" s="71"/>
      <c r="D68" s="72"/>
      <c r="E68" s="73"/>
      <c r="F68" s="74">
        <f>SUM(F69:F72)</f>
        <v>92000</v>
      </c>
    </row>
    <row r="69" spans="1:6" ht="15" customHeight="1" x14ac:dyDescent="0.2">
      <c r="A69" s="177">
        <v>7.1</v>
      </c>
      <c r="B69" s="61" t="s">
        <v>101</v>
      </c>
      <c r="C69" s="15">
        <v>0</v>
      </c>
      <c r="D69" s="14" t="s">
        <v>14</v>
      </c>
      <c r="E69" s="53">
        <v>100000</v>
      </c>
      <c r="F69" s="16">
        <f t="shared" si="9"/>
        <v>0</v>
      </c>
    </row>
    <row r="70" spans="1:6" ht="15" customHeight="1" x14ac:dyDescent="0.2">
      <c r="A70" s="177">
        <v>7.2</v>
      </c>
      <c r="B70" s="61" t="s">
        <v>102</v>
      </c>
      <c r="C70" s="15">
        <v>1</v>
      </c>
      <c r="D70" s="14" t="s">
        <v>14</v>
      </c>
      <c r="E70" s="53">
        <v>80000</v>
      </c>
      <c r="F70" s="16">
        <f t="shared" si="9"/>
        <v>80000</v>
      </c>
    </row>
    <row r="71" spans="1:6" ht="15" customHeight="1" x14ac:dyDescent="0.2">
      <c r="A71" s="177">
        <v>7.3</v>
      </c>
      <c r="B71" s="61" t="s">
        <v>103</v>
      </c>
      <c r="C71" s="15">
        <v>0</v>
      </c>
      <c r="D71" s="14" t="s">
        <v>51</v>
      </c>
      <c r="E71" s="53">
        <v>160</v>
      </c>
      <c r="F71" s="16">
        <f t="shared" si="9"/>
        <v>0</v>
      </c>
    </row>
    <row r="72" spans="1:6" ht="15" customHeight="1" x14ac:dyDescent="0.2">
      <c r="A72" s="177">
        <v>7.4</v>
      </c>
      <c r="B72" s="61" t="s">
        <v>104</v>
      </c>
      <c r="C72" s="15">
        <v>15</v>
      </c>
      <c r="D72" s="14" t="s">
        <v>105</v>
      </c>
      <c r="E72" s="53">
        <f>SUM(F69:F71)</f>
        <v>80000</v>
      </c>
      <c r="F72" s="16">
        <f>E72*C72/100</f>
        <v>12000</v>
      </c>
    </row>
    <row r="73" spans="1:6" ht="15" customHeight="1" x14ac:dyDescent="0.25">
      <c r="A73" s="165">
        <v>8</v>
      </c>
      <c r="B73" s="70" t="s">
        <v>106</v>
      </c>
      <c r="C73" s="71"/>
      <c r="D73" s="72"/>
      <c r="E73" s="73"/>
      <c r="F73" s="74">
        <f>SUM(F74:F79)</f>
        <v>40673.941500000001</v>
      </c>
    </row>
    <row r="74" spans="1:6" ht="15" customHeight="1" x14ac:dyDescent="0.2">
      <c r="A74" s="177">
        <v>8.1</v>
      </c>
      <c r="B74" s="61" t="s">
        <v>107</v>
      </c>
      <c r="C74" s="15">
        <v>1</v>
      </c>
      <c r="D74" s="14" t="s">
        <v>14</v>
      </c>
      <c r="E74" s="53">
        <v>9000</v>
      </c>
      <c r="F74" s="16">
        <f t="shared" ref="F74:F76" si="10">C74*E74</f>
        <v>9000</v>
      </c>
    </row>
    <row r="75" spans="1:6" ht="15" customHeight="1" x14ac:dyDescent="0.2">
      <c r="A75" s="177">
        <v>8.1999999999999993</v>
      </c>
      <c r="B75" s="61" t="s">
        <v>108</v>
      </c>
      <c r="C75" s="15">
        <v>34</v>
      </c>
      <c r="D75" s="14" t="s">
        <v>14</v>
      </c>
      <c r="E75" s="53">
        <v>280</v>
      </c>
      <c r="F75" s="16">
        <f t="shared" si="10"/>
        <v>9520</v>
      </c>
    </row>
    <row r="76" spans="1:6" ht="15" customHeight="1" x14ac:dyDescent="0.2">
      <c r="A76" s="177">
        <v>8.3000000000000007</v>
      </c>
      <c r="B76" s="61" t="s">
        <v>109</v>
      </c>
      <c r="C76" s="15">
        <v>1</v>
      </c>
      <c r="D76" s="14" t="s">
        <v>14</v>
      </c>
      <c r="E76" s="53">
        <f>0.015*(F46+F31+F12)</f>
        <v>8520.3165000000008</v>
      </c>
      <c r="F76" s="16">
        <f t="shared" si="10"/>
        <v>8520.3165000000008</v>
      </c>
    </row>
    <row r="77" spans="1:6" ht="15" customHeight="1" x14ac:dyDescent="0.2">
      <c r="A77" s="177">
        <v>8.4</v>
      </c>
      <c r="B77" s="61" t="s">
        <v>110</v>
      </c>
      <c r="C77" s="15">
        <v>1</v>
      </c>
      <c r="D77" s="14" t="s">
        <v>14</v>
      </c>
      <c r="E77" s="53">
        <f>0.15*F64</f>
        <v>4433.625</v>
      </c>
      <c r="F77" s="16">
        <f>C77*E77</f>
        <v>4433.625</v>
      </c>
    </row>
    <row r="78" spans="1:6" ht="15" customHeight="1" x14ac:dyDescent="0.2">
      <c r="A78" s="177">
        <v>8.5</v>
      </c>
      <c r="B78" s="61" t="s">
        <v>111</v>
      </c>
      <c r="C78" s="15">
        <v>10</v>
      </c>
      <c r="D78" s="14" t="s">
        <v>112</v>
      </c>
      <c r="E78" s="53">
        <f>F62*0.015</f>
        <v>0</v>
      </c>
      <c r="F78" s="16">
        <f>C78*E78</f>
        <v>0</v>
      </c>
    </row>
    <row r="79" spans="1:6" ht="14.25" x14ac:dyDescent="0.2">
      <c r="A79" s="177">
        <v>8.6</v>
      </c>
      <c r="B79" s="61" t="s">
        <v>113</v>
      </c>
      <c r="C79" s="15">
        <v>1</v>
      </c>
      <c r="D79" s="14" t="s">
        <v>14</v>
      </c>
      <c r="E79" s="53">
        <f>0.1*F68</f>
        <v>9200</v>
      </c>
      <c r="F79" s="16">
        <f>C79*E79</f>
        <v>9200</v>
      </c>
    </row>
    <row r="80" spans="1:6" ht="15" customHeight="1" x14ac:dyDescent="0.25">
      <c r="A80" s="165">
        <v>9</v>
      </c>
      <c r="B80" s="70" t="s">
        <v>114</v>
      </c>
      <c r="C80" s="71"/>
      <c r="D80" s="72"/>
      <c r="E80" s="73"/>
      <c r="F80" s="74">
        <f>SUM(F81:F83)</f>
        <v>10000</v>
      </c>
    </row>
    <row r="81" spans="1:6" ht="15" customHeight="1" x14ac:dyDescent="0.2">
      <c r="A81" s="177">
        <v>9.1</v>
      </c>
      <c r="B81" s="61" t="s">
        <v>130</v>
      </c>
      <c r="C81" s="15">
        <v>1</v>
      </c>
      <c r="D81" s="14" t="s">
        <v>14</v>
      </c>
      <c r="E81" s="53">
        <v>10000</v>
      </c>
      <c r="F81" s="16">
        <f t="shared" ref="F81" si="11">C81*E81</f>
        <v>10000</v>
      </c>
    </row>
    <row r="82" spans="1:6" ht="15" customHeight="1" x14ac:dyDescent="0.2">
      <c r="A82" s="177"/>
      <c r="B82" s="61"/>
      <c r="C82" s="15"/>
      <c r="D82" s="14"/>
      <c r="E82" s="53"/>
      <c r="F82" s="16"/>
    </row>
    <row r="83" spans="1:6" ht="15" customHeight="1" x14ac:dyDescent="0.2">
      <c r="A83" s="177"/>
      <c r="B83" s="61"/>
      <c r="C83" s="15"/>
      <c r="D83" s="14"/>
      <c r="E83" s="53"/>
      <c r="F83" s="16"/>
    </row>
    <row r="84" spans="1:6" ht="15" customHeight="1" x14ac:dyDescent="0.25">
      <c r="A84" s="92"/>
      <c r="B84" s="160" t="s">
        <v>115</v>
      </c>
      <c r="C84" s="75"/>
      <c r="D84" s="76"/>
      <c r="E84" s="83"/>
      <c r="F84" s="181">
        <f>SUM(F5,F12,F31,F46,F61,F64,F68,F73,F80)</f>
        <v>837688.52500000002</v>
      </c>
    </row>
    <row r="85" spans="1:6" ht="15" customHeight="1" x14ac:dyDescent="0.25">
      <c r="A85" s="165">
        <v>10</v>
      </c>
      <c r="B85" s="70" t="s">
        <v>116</v>
      </c>
      <c r="C85" s="71"/>
      <c r="D85" s="72"/>
      <c r="E85" s="73"/>
      <c r="F85" s="74"/>
    </row>
    <row r="86" spans="1:6" ht="15" customHeight="1" x14ac:dyDescent="0.2">
      <c r="A86" s="177">
        <v>10.1</v>
      </c>
      <c r="B86" s="61" t="s">
        <v>117</v>
      </c>
      <c r="C86" s="166">
        <v>3.25</v>
      </c>
      <c r="D86" s="14" t="s">
        <v>105</v>
      </c>
      <c r="E86" s="175"/>
      <c r="F86" s="176">
        <f>C86%*F$84</f>
        <v>27224.877062500003</v>
      </c>
    </row>
    <row r="87" spans="1:6" ht="15" customHeight="1" x14ac:dyDescent="0.2">
      <c r="A87" s="177">
        <v>10.199999999999999</v>
      </c>
      <c r="B87" s="61" t="s">
        <v>118</v>
      </c>
      <c r="C87" s="166">
        <v>1</v>
      </c>
      <c r="D87" s="14" t="s">
        <v>105</v>
      </c>
      <c r="E87" s="175"/>
      <c r="F87" s="176">
        <f t="shared" ref="F87:F93" si="12">C87%*F$84</f>
        <v>8376.8852500000012</v>
      </c>
    </row>
    <row r="88" spans="1:6" ht="15" customHeight="1" x14ac:dyDescent="0.2">
      <c r="A88" s="177">
        <v>10.3</v>
      </c>
      <c r="B88" s="61" t="s">
        <v>119</v>
      </c>
      <c r="C88" s="166">
        <v>5</v>
      </c>
      <c r="D88" s="14" t="s">
        <v>105</v>
      </c>
      <c r="E88" s="175"/>
      <c r="F88" s="176">
        <f t="shared" si="12"/>
        <v>41884.426250000004</v>
      </c>
    </row>
    <row r="89" spans="1:6" ht="15" customHeight="1" x14ac:dyDescent="0.2">
      <c r="A89" s="177">
        <v>10.4</v>
      </c>
      <c r="B89" s="61" t="s">
        <v>120</v>
      </c>
      <c r="C89" s="166">
        <v>0.5</v>
      </c>
      <c r="D89" s="14" t="s">
        <v>105</v>
      </c>
      <c r="E89" s="175"/>
      <c r="F89" s="176">
        <f t="shared" si="12"/>
        <v>4188.4426250000006</v>
      </c>
    </row>
    <row r="90" spans="1:6" ht="15" customHeight="1" x14ac:dyDescent="0.2">
      <c r="A90" s="177">
        <v>10.5</v>
      </c>
      <c r="B90" s="61" t="s">
        <v>121</v>
      </c>
      <c r="C90" s="166">
        <v>5</v>
      </c>
      <c r="D90" s="14" t="s">
        <v>105</v>
      </c>
      <c r="E90" s="175"/>
      <c r="F90" s="176">
        <f t="shared" si="12"/>
        <v>41884.426250000004</v>
      </c>
    </row>
    <row r="91" spans="1:6" ht="15" customHeight="1" x14ac:dyDescent="0.2">
      <c r="A91" s="177">
        <v>10.6</v>
      </c>
      <c r="B91" s="61" t="s">
        <v>122</v>
      </c>
      <c r="C91" s="166">
        <v>9</v>
      </c>
      <c r="D91" s="14" t="s">
        <v>105</v>
      </c>
      <c r="E91" s="175"/>
      <c r="F91" s="176">
        <f t="shared" si="12"/>
        <v>75391.967250000002</v>
      </c>
    </row>
    <row r="92" spans="1:6" ht="15" customHeight="1" x14ac:dyDescent="0.2">
      <c r="A92" s="177">
        <v>10.7</v>
      </c>
      <c r="B92" s="61" t="s">
        <v>123</v>
      </c>
      <c r="C92" s="166">
        <v>2.5</v>
      </c>
      <c r="D92" s="14" t="s">
        <v>105</v>
      </c>
      <c r="E92" s="175"/>
      <c r="F92" s="176">
        <f t="shared" si="12"/>
        <v>20942.213125000002</v>
      </c>
    </row>
    <row r="93" spans="1:6" ht="15" customHeight="1" x14ac:dyDescent="0.2">
      <c r="A93" s="177">
        <v>10.8</v>
      </c>
      <c r="B93" s="61" t="s">
        <v>124</v>
      </c>
      <c r="C93" s="166">
        <v>15</v>
      </c>
      <c r="D93" s="14" t="s">
        <v>105</v>
      </c>
      <c r="E93" s="175"/>
      <c r="F93" s="176">
        <f t="shared" si="12"/>
        <v>125653.27875</v>
      </c>
    </row>
    <row r="94" spans="1:6" ht="15" customHeight="1" x14ac:dyDescent="0.25">
      <c r="A94" s="92"/>
      <c r="B94" s="160" t="s">
        <v>125</v>
      </c>
      <c r="C94" s="75"/>
      <c r="D94" s="76"/>
      <c r="E94" s="83"/>
      <c r="F94" s="181">
        <f>SUM(F84:F93)</f>
        <v>1183235.0415625002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F94"/>
  <sheetViews>
    <sheetView topLeftCell="A69" workbookViewId="0">
      <selection activeCell="C103" sqref="C103"/>
    </sheetView>
  </sheetViews>
  <sheetFormatPr defaultColWidth="9.140625" defaultRowHeight="15" customHeight="1" x14ac:dyDescent="0.2"/>
  <cols>
    <col min="1" max="1" width="12.7109375" style="162" customWidth="1"/>
    <col min="2" max="2" width="50.7109375" style="162" customWidth="1"/>
    <col min="3" max="4" width="12.7109375" style="162" customWidth="1"/>
    <col min="5" max="6" width="15.7109375" style="162" customWidth="1"/>
    <col min="7" max="16384" width="9.140625" style="162"/>
  </cols>
  <sheetData>
    <row r="1" spans="1:6" ht="15" customHeight="1" x14ac:dyDescent="0.25">
      <c r="A1" s="1" t="s">
        <v>0</v>
      </c>
      <c r="F1" s="161">
        <v>43544</v>
      </c>
    </row>
    <row r="2" spans="1:6" ht="15" customHeight="1" x14ac:dyDescent="0.25">
      <c r="A2" s="1" t="s">
        <v>132</v>
      </c>
    </row>
    <row r="4" spans="1:6" ht="30" x14ac:dyDescent="0.2">
      <c r="A4" s="182" t="s">
        <v>2</v>
      </c>
      <c r="B4" s="182" t="s">
        <v>3</v>
      </c>
      <c r="C4" s="182" t="s">
        <v>4</v>
      </c>
      <c r="D4" s="182" t="s">
        <v>5</v>
      </c>
      <c r="E4" s="183" t="s">
        <v>6</v>
      </c>
      <c r="F4" s="183" t="s">
        <v>7</v>
      </c>
    </row>
    <row r="5" spans="1:6" ht="15" customHeight="1" x14ac:dyDescent="0.25">
      <c r="A5" s="165">
        <v>1</v>
      </c>
      <c r="B5" s="70" t="s">
        <v>8</v>
      </c>
      <c r="C5" s="71"/>
      <c r="D5" s="72"/>
      <c r="E5" s="79"/>
      <c r="F5" s="74">
        <f>SUM(F6:F11)</f>
        <v>30917.561399999999</v>
      </c>
    </row>
    <row r="6" spans="1:6" ht="15" customHeight="1" x14ac:dyDescent="0.2">
      <c r="A6" s="177">
        <v>1.1000000000000001</v>
      </c>
      <c r="B6" s="127" t="s">
        <v>9</v>
      </c>
      <c r="C6" s="167">
        <f>C7</f>
        <v>795</v>
      </c>
      <c r="D6" s="173" t="s">
        <v>11</v>
      </c>
      <c r="E6" s="174">
        <v>5</v>
      </c>
      <c r="F6" s="170">
        <f t="shared" ref="F6:F11" si="0">C6*E6</f>
        <v>3975</v>
      </c>
    </row>
    <row r="7" spans="1:6" ht="15" customHeight="1" x14ac:dyDescent="0.2">
      <c r="A7" s="177">
        <v>1.2</v>
      </c>
      <c r="B7" s="127" t="s">
        <v>12</v>
      </c>
      <c r="C7" s="167">
        <f>ROUNDUP(C33/2*5,0)+C43+C40+(C14+C20+C26)*0.2</f>
        <v>795</v>
      </c>
      <c r="D7" s="173" t="s">
        <v>11</v>
      </c>
      <c r="E7" s="174">
        <v>7</v>
      </c>
      <c r="F7" s="170">
        <f t="shared" si="0"/>
        <v>5565</v>
      </c>
    </row>
    <row r="8" spans="1:6" ht="15" customHeight="1" x14ac:dyDescent="0.2">
      <c r="A8" s="177">
        <v>1.3</v>
      </c>
      <c r="B8" s="127" t="s">
        <v>13</v>
      </c>
      <c r="C8" s="167">
        <v>1</v>
      </c>
      <c r="D8" s="173" t="s">
        <v>14</v>
      </c>
      <c r="E8" s="174">
        <v>7000</v>
      </c>
      <c r="F8" s="170">
        <f t="shared" si="0"/>
        <v>7000</v>
      </c>
    </row>
    <row r="9" spans="1:6" ht="15" customHeight="1" x14ac:dyDescent="0.2">
      <c r="A9" s="177">
        <v>1.4</v>
      </c>
      <c r="B9" s="127" t="s">
        <v>15</v>
      </c>
      <c r="C9" s="167">
        <v>1</v>
      </c>
      <c r="D9" s="173" t="s">
        <v>14</v>
      </c>
      <c r="E9" s="174">
        <v>3600</v>
      </c>
      <c r="F9" s="170">
        <f t="shared" si="0"/>
        <v>3600</v>
      </c>
    </row>
    <row r="10" spans="1:6" ht="15" customHeight="1" x14ac:dyDescent="0.2">
      <c r="A10" s="177">
        <v>1.5</v>
      </c>
      <c r="B10" s="127" t="s">
        <v>16</v>
      </c>
      <c r="C10" s="167">
        <f>(C16*0.4+C37*0.25+C43*0.175+C17*0.3)*0.6</f>
        <v>162.47579999999999</v>
      </c>
      <c r="D10" s="173" t="s">
        <v>17</v>
      </c>
      <c r="E10" s="174">
        <v>45</v>
      </c>
      <c r="F10" s="170">
        <f t="shared" si="0"/>
        <v>7311.4110000000001</v>
      </c>
    </row>
    <row r="11" spans="1:6" ht="15" customHeight="1" x14ac:dyDescent="0.2">
      <c r="A11" s="177">
        <v>1.6</v>
      </c>
      <c r="B11" s="127" t="s">
        <v>18</v>
      </c>
      <c r="C11" s="167">
        <f>(C16*0.4+C37*0.25+C43*0.175+C17*0.3)*0.4</f>
        <v>108.31720000000001</v>
      </c>
      <c r="D11" s="173" t="s">
        <v>17</v>
      </c>
      <c r="E11" s="174">
        <v>32</v>
      </c>
      <c r="F11" s="170">
        <f t="shared" si="0"/>
        <v>3466.1504000000004</v>
      </c>
    </row>
    <row r="12" spans="1:6" ht="15" customHeight="1" x14ac:dyDescent="0.25">
      <c r="A12" s="165">
        <v>2</v>
      </c>
      <c r="B12" s="70" t="s">
        <v>19</v>
      </c>
      <c r="C12" s="71"/>
      <c r="D12" s="72"/>
      <c r="E12" s="79"/>
      <c r="F12" s="74">
        <f>SUM(F14:F30)</f>
        <v>39943.540000000008</v>
      </c>
    </row>
    <row r="13" spans="1:6" ht="15" customHeight="1" x14ac:dyDescent="0.25">
      <c r="A13" s="163">
        <v>2.1</v>
      </c>
      <c r="B13" s="62" t="s">
        <v>20</v>
      </c>
      <c r="C13" s="167"/>
      <c r="D13" s="168"/>
      <c r="E13" s="172"/>
      <c r="F13" s="170"/>
    </row>
    <row r="14" spans="1:6" ht="15" customHeight="1" x14ac:dyDescent="0.2">
      <c r="A14" s="164" t="s">
        <v>21</v>
      </c>
      <c r="B14" s="127" t="s">
        <v>22</v>
      </c>
      <c r="C14" s="167">
        <v>235</v>
      </c>
      <c r="D14" s="173" t="s">
        <v>11</v>
      </c>
      <c r="E14" s="174">
        <v>27</v>
      </c>
      <c r="F14" s="170">
        <f t="shared" ref="F14:F18" si="1">C14*E14</f>
        <v>6345</v>
      </c>
    </row>
    <row r="15" spans="1:6" ht="15" customHeight="1" x14ac:dyDescent="0.2">
      <c r="A15" s="164" t="s">
        <v>23</v>
      </c>
      <c r="B15" s="127" t="s">
        <v>24</v>
      </c>
      <c r="C15" s="167">
        <f>C14</f>
        <v>235</v>
      </c>
      <c r="D15" s="173" t="s">
        <v>11</v>
      </c>
      <c r="E15" s="174">
        <f>ROUNDUP(32*100/75,0)</f>
        <v>43</v>
      </c>
      <c r="F15" s="170">
        <f t="shared" si="1"/>
        <v>10105</v>
      </c>
    </row>
    <row r="16" spans="1:6" ht="15" customHeight="1" x14ac:dyDescent="0.2">
      <c r="A16" s="164" t="s">
        <v>25</v>
      </c>
      <c r="B16" s="127" t="s">
        <v>26</v>
      </c>
      <c r="C16" s="167">
        <f>C15+(C35*0.45)+(C33*0.75)</f>
        <v>399.55</v>
      </c>
      <c r="D16" s="173" t="s">
        <v>11</v>
      </c>
      <c r="E16" s="174">
        <f>ROUNDUP(18*260/110,0)</f>
        <v>43</v>
      </c>
      <c r="F16" s="170">
        <f t="shared" si="1"/>
        <v>17180.650000000001</v>
      </c>
    </row>
    <row r="17" spans="1:6" ht="15" customHeight="1" x14ac:dyDescent="0.2">
      <c r="A17" s="164" t="s">
        <v>27</v>
      </c>
      <c r="B17" s="127" t="s">
        <v>28</v>
      </c>
      <c r="C17" s="167">
        <f>C16*0.2</f>
        <v>79.910000000000011</v>
      </c>
      <c r="D17" s="173" t="s">
        <v>11</v>
      </c>
      <c r="E17" s="174">
        <v>24</v>
      </c>
      <c r="F17" s="170">
        <f t="shared" si="1"/>
        <v>1917.8400000000001</v>
      </c>
    </row>
    <row r="18" spans="1:6" ht="15" customHeight="1" x14ac:dyDescent="0.2">
      <c r="A18" s="164" t="s">
        <v>29</v>
      </c>
      <c r="B18" s="127" t="s">
        <v>30</v>
      </c>
      <c r="C18" s="167">
        <f>C16*0.1</f>
        <v>39.955000000000005</v>
      </c>
      <c r="D18" s="173" t="s">
        <v>11</v>
      </c>
      <c r="E18" s="174">
        <v>110</v>
      </c>
      <c r="F18" s="170">
        <f t="shared" si="1"/>
        <v>4395.05</v>
      </c>
    </row>
    <row r="19" spans="1:6" ht="15" customHeight="1" x14ac:dyDescent="0.25">
      <c r="A19" s="163">
        <v>2.2000000000000002</v>
      </c>
      <c r="B19" s="62" t="s">
        <v>31</v>
      </c>
      <c r="C19" s="167"/>
      <c r="D19" s="168"/>
      <c r="E19" s="172"/>
      <c r="F19" s="170"/>
    </row>
    <row r="20" spans="1:6" ht="15" customHeight="1" x14ac:dyDescent="0.2">
      <c r="A20" s="164" t="s">
        <v>32</v>
      </c>
      <c r="B20" s="127" t="s">
        <v>22</v>
      </c>
      <c r="C20" s="167">
        <v>0</v>
      </c>
      <c r="D20" s="173" t="s">
        <v>11</v>
      </c>
      <c r="E20" s="174">
        <v>27</v>
      </c>
      <c r="F20" s="170">
        <f t="shared" ref="F20:F24" si="2">C20*E20</f>
        <v>0</v>
      </c>
    </row>
    <row r="21" spans="1:6" ht="15" customHeight="1" x14ac:dyDescent="0.2">
      <c r="A21" s="164" t="s">
        <v>33</v>
      </c>
      <c r="B21" s="127" t="s">
        <v>34</v>
      </c>
      <c r="C21" s="167">
        <f>C20</f>
        <v>0</v>
      </c>
      <c r="D21" s="173" t="s">
        <v>11</v>
      </c>
      <c r="E21" s="174">
        <f>ROUNDUP(32*150/75,0)</f>
        <v>64</v>
      </c>
      <c r="F21" s="170">
        <f t="shared" si="2"/>
        <v>0</v>
      </c>
    </row>
    <row r="22" spans="1:6" ht="15" customHeight="1" x14ac:dyDescent="0.2">
      <c r="A22" s="164" t="s">
        <v>35</v>
      </c>
      <c r="B22" s="127" t="s">
        <v>36</v>
      </c>
      <c r="C22" s="167">
        <v>0</v>
      </c>
      <c r="D22" s="173" t="s">
        <v>11</v>
      </c>
      <c r="E22" s="174">
        <f>ROUNDUP(18*300/110,0)</f>
        <v>50</v>
      </c>
      <c r="F22" s="170">
        <f t="shared" si="2"/>
        <v>0</v>
      </c>
    </row>
    <row r="23" spans="1:6" ht="15" customHeight="1" x14ac:dyDescent="0.2">
      <c r="A23" s="164" t="s">
        <v>37</v>
      </c>
      <c r="B23" s="127" t="s">
        <v>28</v>
      </c>
      <c r="C23" s="167">
        <f>C22*0.2</f>
        <v>0</v>
      </c>
      <c r="D23" s="173" t="s">
        <v>11</v>
      </c>
      <c r="E23" s="174">
        <v>24</v>
      </c>
      <c r="F23" s="170">
        <f t="shared" si="2"/>
        <v>0</v>
      </c>
    </row>
    <row r="24" spans="1:6" ht="15" customHeight="1" x14ac:dyDescent="0.2">
      <c r="A24" s="164" t="s">
        <v>38</v>
      </c>
      <c r="B24" s="127" t="s">
        <v>30</v>
      </c>
      <c r="C24" s="167">
        <f>C22*0.1</f>
        <v>0</v>
      </c>
      <c r="D24" s="173" t="s">
        <v>11</v>
      </c>
      <c r="E24" s="174">
        <v>110</v>
      </c>
      <c r="F24" s="170">
        <f t="shared" si="2"/>
        <v>0</v>
      </c>
    </row>
    <row r="25" spans="1:6" ht="15" customHeight="1" x14ac:dyDescent="0.25">
      <c r="A25" s="163">
        <v>2.2999999999999998</v>
      </c>
      <c r="B25" s="62" t="s">
        <v>39</v>
      </c>
      <c r="C25" s="179"/>
      <c r="D25" s="179"/>
      <c r="E25" s="179"/>
      <c r="F25" s="180"/>
    </row>
    <row r="26" spans="1:6" ht="15" customHeight="1" x14ac:dyDescent="0.2">
      <c r="A26" s="164" t="s">
        <v>40</v>
      </c>
      <c r="B26" s="127" t="s">
        <v>41</v>
      </c>
      <c r="C26" s="167">
        <v>0</v>
      </c>
      <c r="D26" s="173" t="s">
        <v>11</v>
      </c>
      <c r="E26" s="174">
        <f>ROUNDUP(E14*0.85,0)</f>
        <v>23</v>
      </c>
      <c r="F26" s="170">
        <f t="shared" ref="F26:F30" si="3">C26*E26</f>
        <v>0</v>
      </c>
    </row>
    <row r="27" spans="1:6" ht="15" customHeight="1" x14ac:dyDescent="0.2">
      <c r="A27" s="164" t="s">
        <v>42</v>
      </c>
      <c r="B27" s="127" t="s">
        <v>24</v>
      </c>
      <c r="C27" s="167">
        <f>C26</f>
        <v>0</v>
      </c>
      <c r="D27" s="173" t="s">
        <v>11</v>
      </c>
      <c r="E27" s="174">
        <f>E15</f>
        <v>43</v>
      </c>
      <c r="F27" s="170">
        <f t="shared" si="3"/>
        <v>0</v>
      </c>
    </row>
    <row r="28" spans="1:6" ht="15" customHeight="1" x14ac:dyDescent="0.2">
      <c r="A28" s="164" t="s">
        <v>43</v>
      </c>
      <c r="B28" s="127" t="s">
        <v>44</v>
      </c>
      <c r="C28" s="167">
        <v>0</v>
      </c>
      <c r="D28" s="173" t="s">
        <v>11</v>
      </c>
      <c r="E28" s="174">
        <f>E16</f>
        <v>43</v>
      </c>
      <c r="F28" s="170">
        <f t="shared" si="3"/>
        <v>0</v>
      </c>
    </row>
    <row r="29" spans="1:6" ht="15" customHeight="1" x14ac:dyDescent="0.2">
      <c r="A29" s="164" t="s">
        <v>45</v>
      </c>
      <c r="B29" s="127" t="s">
        <v>28</v>
      </c>
      <c r="C29" s="167">
        <f>C28*0.2</f>
        <v>0</v>
      </c>
      <c r="D29" s="173" t="s">
        <v>11</v>
      </c>
      <c r="E29" s="174">
        <f>E17</f>
        <v>24</v>
      </c>
      <c r="F29" s="170">
        <f t="shared" si="3"/>
        <v>0</v>
      </c>
    </row>
    <row r="30" spans="1:6" ht="15" customHeight="1" x14ac:dyDescent="0.2">
      <c r="A30" s="164" t="s">
        <v>46</v>
      </c>
      <c r="B30" s="127" t="s">
        <v>30</v>
      </c>
      <c r="C30" s="167">
        <f>C28*0.1</f>
        <v>0</v>
      </c>
      <c r="D30" s="173" t="s">
        <v>11</v>
      </c>
      <c r="E30" s="174">
        <f>E18</f>
        <v>110</v>
      </c>
      <c r="F30" s="170">
        <f t="shared" si="3"/>
        <v>0</v>
      </c>
    </row>
    <row r="31" spans="1:6" x14ac:dyDescent="0.25">
      <c r="A31" s="165">
        <v>3</v>
      </c>
      <c r="B31" s="70" t="s">
        <v>47</v>
      </c>
      <c r="C31" s="71"/>
      <c r="D31" s="72"/>
      <c r="E31" s="79"/>
      <c r="F31" s="74">
        <f>SUM(F33:F45)</f>
        <v>59050</v>
      </c>
    </row>
    <row r="32" spans="1:6" ht="15" customHeight="1" x14ac:dyDescent="0.25">
      <c r="A32" s="177">
        <v>3.1</v>
      </c>
      <c r="B32" s="62" t="s">
        <v>48</v>
      </c>
      <c r="C32" s="15"/>
      <c r="D32" s="14"/>
      <c r="E32" s="53"/>
      <c r="F32" s="16"/>
    </row>
    <row r="33" spans="1:6" ht="15" customHeight="1" x14ac:dyDescent="0.2">
      <c r="A33" s="178" t="s">
        <v>49</v>
      </c>
      <c r="B33" s="61" t="s">
        <v>50</v>
      </c>
      <c r="C33" s="167">
        <f>88+75</f>
        <v>163</v>
      </c>
      <c r="D33" s="168" t="s">
        <v>51</v>
      </c>
      <c r="E33" s="169">
        <v>64</v>
      </c>
      <c r="F33" s="170">
        <f t="shared" ref="F33:F35" si="4">SUM(E33*C33)</f>
        <v>10432</v>
      </c>
    </row>
    <row r="34" spans="1:6" ht="15" customHeight="1" x14ac:dyDescent="0.2">
      <c r="A34" s="178" t="s">
        <v>52</v>
      </c>
      <c r="B34" s="61" t="s">
        <v>53</v>
      </c>
      <c r="C34" s="167">
        <v>0</v>
      </c>
      <c r="D34" s="168" t="s">
        <v>51</v>
      </c>
      <c r="E34" s="169">
        <v>61</v>
      </c>
      <c r="F34" s="170">
        <f t="shared" si="4"/>
        <v>0</v>
      </c>
    </row>
    <row r="35" spans="1:6" ht="15" customHeight="1" x14ac:dyDescent="0.2">
      <c r="A35" s="178" t="s">
        <v>54</v>
      </c>
      <c r="B35" s="61" t="s">
        <v>55</v>
      </c>
      <c r="C35" s="167">
        <f>78+16</f>
        <v>94</v>
      </c>
      <c r="D35" s="168" t="s">
        <v>51</v>
      </c>
      <c r="E35" s="169">
        <v>52</v>
      </c>
      <c r="F35" s="170">
        <f t="shared" si="4"/>
        <v>4888</v>
      </c>
    </row>
    <row r="36" spans="1:6" x14ac:dyDescent="0.25">
      <c r="A36" s="177">
        <v>3.2</v>
      </c>
      <c r="B36" s="62" t="s">
        <v>56</v>
      </c>
      <c r="C36" s="171"/>
      <c r="D36" s="171"/>
      <c r="E36" s="171"/>
      <c r="F36" s="171"/>
    </row>
    <row r="37" spans="1:6" ht="14.25" x14ac:dyDescent="0.2">
      <c r="A37" s="178" t="s">
        <v>57</v>
      </c>
      <c r="B37" s="61" t="s">
        <v>58</v>
      </c>
      <c r="C37" s="167">
        <v>110</v>
      </c>
      <c r="D37" s="168" t="s">
        <v>11</v>
      </c>
      <c r="E37" s="169">
        <v>70</v>
      </c>
      <c r="F37" s="170">
        <f>SUM(E37*C37)</f>
        <v>7700</v>
      </c>
    </row>
    <row r="38" spans="1:6" ht="15" customHeight="1" x14ac:dyDescent="0.2">
      <c r="A38" s="178" t="s">
        <v>59</v>
      </c>
      <c r="B38" s="61" t="s">
        <v>60</v>
      </c>
      <c r="C38" s="167">
        <f>C37</f>
        <v>110</v>
      </c>
      <c r="D38" s="168" t="s">
        <v>11</v>
      </c>
      <c r="E38" s="169">
        <v>35</v>
      </c>
      <c r="F38" s="170">
        <f>SUM(E38*C38)</f>
        <v>3850</v>
      </c>
    </row>
    <row r="39" spans="1:6" ht="15" customHeight="1" x14ac:dyDescent="0.25">
      <c r="A39" s="177">
        <v>3.3</v>
      </c>
      <c r="B39" s="62" t="s">
        <v>61</v>
      </c>
      <c r="E39" s="169"/>
      <c r="F39" s="170"/>
    </row>
    <row r="40" spans="1:6" ht="15" customHeight="1" x14ac:dyDescent="0.2">
      <c r="A40" s="178" t="s">
        <v>62</v>
      </c>
      <c r="B40" s="61" t="s">
        <v>63</v>
      </c>
      <c r="C40" s="167">
        <v>0</v>
      </c>
      <c r="D40" s="168" t="s">
        <v>11</v>
      </c>
      <c r="E40" s="169">
        <f>ROUNDUP(E37*125/150,0)</f>
        <v>59</v>
      </c>
      <c r="F40" s="170">
        <f t="shared" ref="F40:F41" si="5">SUM(E40*C40)</f>
        <v>0</v>
      </c>
    </row>
    <row r="41" spans="1:6" ht="15" customHeight="1" x14ac:dyDescent="0.2">
      <c r="A41" s="178" t="s">
        <v>64</v>
      </c>
      <c r="B41" s="61" t="s">
        <v>65</v>
      </c>
      <c r="C41" s="167">
        <f>C40</f>
        <v>0</v>
      </c>
      <c r="D41" s="168" t="s">
        <v>11</v>
      </c>
      <c r="E41" s="169">
        <f>ROUNDUP(E38*0.8,0)</f>
        <v>28</v>
      </c>
      <c r="F41" s="170">
        <f t="shared" si="5"/>
        <v>0</v>
      </c>
    </row>
    <row r="42" spans="1:6" ht="15" customHeight="1" x14ac:dyDescent="0.25">
      <c r="A42" s="177">
        <v>3.4</v>
      </c>
      <c r="B42" s="62" t="s">
        <v>66</v>
      </c>
      <c r="E42" s="169"/>
      <c r="F42" s="170"/>
    </row>
    <row r="43" spans="1:6" ht="15" customHeight="1" x14ac:dyDescent="0.2">
      <c r="A43" s="178" t="s">
        <v>67</v>
      </c>
      <c r="B43" s="61" t="s">
        <v>63</v>
      </c>
      <c r="C43" s="167">
        <f>(136)*2.5</f>
        <v>340</v>
      </c>
      <c r="D43" s="168" t="s">
        <v>11</v>
      </c>
      <c r="E43" s="169">
        <f>E40</f>
        <v>59</v>
      </c>
      <c r="F43" s="170">
        <f t="shared" ref="F43:F45" si="6">SUM(E43*C43)</f>
        <v>20060</v>
      </c>
    </row>
    <row r="44" spans="1:6" ht="14.25" x14ac:dyDescent="0.2">
      <c r="A44" s="178" t="s">
        <v>68</v>
      </c>
      <c r="B44" s="61" t="s">
        <v>65</v>
      </c>
      <c r="C44" s="167">
        <f>C43</f>
        <v>340</v>
      </c>
      <c r="D44" s="168" t="s">
        <v>11</v>
      </c>
      <c r="E44" s="169">
        <f>ROUNDUP(E38*0.8,0)</f>
        <v>28</v>
      </c>
      <c r="F44" s="170">
        <f t="shared" si="6"/>
        <v>9520</v>
      </c>
    </row>
    <row r="45" spans="1:6" ht="15" customHeight="1" x14ac:dyDescent="0.2">
      <c r="A45" s="177">
        <v>3.5</v>
      </c>
      <c r="B45" s="61" t="s">
        <v>69</v>
      </c>
      <c r="C45" s="167">
        <v>4</v>
      </c>
      <c r="D45" s="168" t="s">
        <v>14</v>
      </c>
      <c r="E45" s="169">
        <v>650</v>
      </c>
      <c r="F45" s="170">
        <f t="shared" si="6"/>
        <v>2600</v>
      </c>
    </row>
    <row r="46" spans="1:6" ht="15" customHeight="1" x14ac:dyDescent="0.25">
      <c r="A46" s="165">
        <v>4</v>
      </c>
      <c r="B46" s="70" t="s">
        <v>70</v>
      </c>
      <c r="C46" s="71"/>
      <c r="D46" s="72"/>
      <c r="E46" s="79"/>
      <c r="F46" s="74">
        <f>SUM(F47:F60)</f>
        <v>8025</v>
      </c>
    </row>
    <row r="47" spans="1:6" ht="15" customHeight="1" x14ac:dyDescent="0.2">
      <c r="A47" s="177">
        <v>4.0999999999999996</v>
      </c>
      <c r="B47" s="61" t="s">
        <v>71</v>
      </c>
      <c r="C47" s="15">
        <v>0</v>
      </c>
      <c r="D47" s="14" t="s">
        <v>14</v>
      </c>
      <c r="E47" s="53">
        <v>4900</v>
      </c>
      <c r="F47" s="16">
        <f t="shared" ref="F47:F63" si="7">E47*C47</f>
        <v>0</v>
      </c>
    </row>
    <row r="48" spans="1:6" ht="15" customHeight="1" x14ac:dyDescent="0.2">
      <c r="A48" s="177">
        <v>4.2</v>
      </c>
      <c r="B48" s="61" t="s">
        <v>72</v>
      </c>
      <c r="C48" s="15">
        <v>0</v>
      </c>
      <c r="D48" s="14" t="s">
        <v>14</v>
      </c>
      <c r="E48" s="53">
        <v>1650</v>
      </c>
      <c r="F48" s="16">
        <f t="shared" si="7"/>
        <v>0</v>
      </c>
    </row>
    <row r="49" spans="1:6" ht="15" customHeight="1" x14ac:dyDescent="0.25">
      <c r="A49" s="177">
        <v>4.3</v>
      </c>
      <c r="B49" s="62" t="s">
        <v>73</v>
      </c>
      <c r="C49" s="15"/>
      <c r="D49" s="14"/>
      <c r="E49" s="53"/>
      <c r="F49" s="16"/>
    </row>
    <row r="50" spans="1:6" ht="15" customHeight="1" x14ac:dyDescent="0.2">
      <c r="A50" s="178" t="s">
        <v>74</v>
      </c>
      <c r="B50" s="61" t="s">
        <v>75</v>
      </c>
      <c r="C50" s="15">
        <v>0</v>
      </c>
      <c r="D50" s="14" t="s">
        <v>14</v>
      </c>
      <c r="E50" s="53">
        <v>4200</v>
      </c>
      <c r="F50" s="16">
        <f t="shared" si="7"/>
        <v>0</v>
      </c>
    </row>
    <row r="51" spans="1:6" ht="14.25" x14ac:dyDescent="0.2">
      <c r="A51" s="178" t="s">
        <v>76</v>
      </c>
      <c r="B51" s="61" t="s">
        <v>77</v>
      </c>
      <c r="C51" s="15">
        <v>0</v>
      </c>
      <c r="D51" s="14" t="s">
        <v>14</v>
      </c>
      <c r="E51" s="53">
        <v>5300</v>
      </c>
      <c r="F51" s="16">
        <f t="shared" si="7"/>
        <v>0</v>
      </c>
    </row>
    <row r="52" spans="1:6" ht="15" customHeight="1" x14ac:dyDescent="0.25">
      <c r="A52" s="177">
        <v>4.4000000000000004</v>
      </c>
      <c r="B52" s="62" t="s">
        <v>78</v>
      </c>
      <c r="C52" s="15"/>
      <c r="D52" s="14"/>
      <c r="E52" s="53"/>
      <c r="F52" s="16"/>
    </row>
    <row r="53" spans="1:6" ht="15" customHeight="1" x14ac:dyDescent="0.2">
      <c r="A53" s="178" t="s">
        <v>79</v>
      </c>
      <c r="B53" s="61" t="s">
        <v>80</v>
      </c>
      <c r="C53" s="15">
        <v>0</v>
      </c>
      <c r="D53" s="14" t="s">
        <v>51</v>
      </c>
      <c r="E53" s="53">
        <v>325</v>
      </c>
      <c r="F53" s="16">
        <f t="shared" si="7"/>
        <v>0</v>
      </c>
    </row>
    <row r="54" spans="1:6" ht="15" customHeight="1" x14ac:dyDescent="0.2">
      <c r="A54" s="178" t="s">
        <v>81</v>
      </c>
      <c r="B54" s="61" t="s">
        <v>82</v>
      </c>
      <c r="C54" s="15">
        <v>0</v>
      </c>
      <c r="D54" s="14" t="s">
        <v>51</v>
      </c>
      <c r="E54" s="53">
        <v>480</v>
      </c>
      <c r="F54" s="16">
        <f t="shared" si="7"/>
        <v>0</v>
      </c>
    </row>
    <row r="55" spans="1:6" ht="15" customHeight="1" x14ac:dyDescent="0.2">
      <c r="A55" s="178" t="s">
        <v>83</v>
      </c>
      <c r="B55" s="61" t="s">
        <v>84</v>
      </c>
      <c r="C55" s="15">
        <v>0</v>
      </c>
      <c r="D55" s="14" t="s">
        <v>51</v>
      </c>
      <c r="E55" s="53">
        <v>600</v>
      </c>
      <c r="F55" s="16">
        <f t="shared" si="7"/>
        <v>0</v>
      </c>
    </row>
    <row r="56" spans="1:6" ht="15" customHeight="1" x14ac:dyDescent="0.2">
      <c r="A56" s="178" t="s">
        <v>85</v>
      </c>
      <c r="B56" s="61" t="s">
        <v>86</v>
      </c>
      <c r="C56" s="15">
        <v>0</v>
      </c>
      <c r="D56" s="14" t="s">
        <v>51</v>
      </c>
      <c r="E56" s="53">
        <v>750</v>
      </c>
      <c r="F56" s="16">
        <f t="shared" si="7"/>
        <v>0</v>
      </c>
    </row>
    <row r="57" spans="1:6" ht="15" customHeight="1" x14ac:dyDescent="0.25">
      <c r="A57" s="177">
        <v>4.5</v>
      </c>
      <c r="B57" s="62" t="s">
        <v>87</v>
      </c>
      <c r="C57" s="15"/>
      <c r="D57" s="14"/>
      <c r="E57" s="53"/>
      <c r="F57" s="16"/>
    </row>
    <row r="58" spans="1:6" ht="15" customHeight="1" x14ac:dyDescent="0.2">
      <c r="A58" s="178" t="s">
        <v>88</v>
      </c>
      <c r="B58" s="61" t="s">
        <v>89</v>
      </c>
      <c r="C58" s="15">
        <v>0</v>
      </c>
      <c r="D58" s="14" t="s">
        <v>14</v>
      </c>
      <c r="E58" s="53">
        <v>3800</v>
      </c>
      <c r="F58" s="16">
        <f t="shared" ref="F58" si="8">E58*C58</f>
        <v>0</v>
      </c>
    </row>
    <row r="59" spans="1:6" ht="15" customHeight="1" x14ac:dyDescent="0.2">
      <c r="A59" s="177">
        <v>4.5999999999999996</v>
      </c>
      <c r="B59" s="127" t="s">
        <v>90</v>
      </c>
      <c r="C59" s="15">
        <f>C33+C35</f>
        <v>257</v>
      </c>
      <c r="D59" s="128" t="s">
        <v>51</v>
      </c>
      <c r="E59" s="53">
        <v>25</v>
      </c>
      <c r="F59" s="16">
        <f t="shared" si="7"/>
        <v>6425</v>
      </c>
    </row>
    <row r="60" spans="1:6" ht="15" customHeight="1" x14ac:dyDescent="0.2">
      <c r="A60" s="177">
        <v>4.7</v>
      </c>
      <c r="B60" s="127" t="s">
        <v>91</v>
      </c>
      <c r="C60" s="15">
        <v>4</v>
      </c>
      <c r="D60" s="128" t="s">
        <v>92</v>
      </c>
      <c r="E60" s="53">
        <v>400</v>
      </c>
      <c r="F60" s="16">
        <f t="shared" si="7"/>
        <v>1600</v>
      </c>
    </row>
    <row r="61" spans="1:6" ht="15" customHeight="1" x14ac:dyDescent="0.25">
      <c r="A61" s="165">
        <v>5</v>
      </c>
      <c r="B61" s="70" t="s">
        <v>93</v>
      </c>
      <c r="C61" s="71"/>
      <c r="D61" s="72"/>
      <c r="E61" s="73"/>
      <c r="F61" s="74">
        <f>SUM(F62:F63)</f>
        <v>280000</v>
      </c>
    </row>
    <row r="62" spans="1:6" ht="15" customHeight="1" x14ac:dyDescent="0.2">
      <c r="A62" s="177">
        <v>5.0999999999999996</v>
      </c>
      <c r="B62" s="61" t="s">
        <v>94</v>
      </c>
      <c r="C62" s="167">
        <v>1</v>
      </c>
      <c r="D62" s="14" t="s">
        <v>14</v>
      </c>
      <c r="E62" s="53">
        <v>280000</v>
      </c>
      <c r="F62" s="16">
        <f t="shared" si="7"/>
        <v>280000</v>
      </c>
    </row>
    <row r="63" spans="1:6" ht="15" customHeight="1" x14ac:dyDescent="0.2">
      <c r="A63" s="177">
        <v>5.2</v>
      </c>
      <c r="B63" s="61" t="s">
        <v>95</v>
      </c>
      <c r="C63" s="167">
        <v>0</v>
      </c>
      <c r="D63" s="14" t="s">
        <v>14</v>
      </c>
      <c r="E63" s="53"/>
      <c r="F63" s="16">
        <f t="shared" si="7"/>
        <v>0</v>
      </c>
    </row>
    <row r="64" spans="1:6" ht="15" customHeight="1" x14ac:dyDescent="0.25">
      <c r="A64" s="165">
        <v>6</v>
      </c>
      <c r="B64" s="70" t="s">
        <v>96</v>
      </c>
      <c r="C64" s="71"/>
      <c r="D64" s="72"/>
      <c r="E64" s="79"/>
      <c r="F64" s="74">
        <f>SUM(F65:F67)</f>
        <v>2690</v>
      </c>
    </row>
    <row r="65" spans="1:6" ht="15" customHeight="1" x14ac:dyDescent="0.2">
      <c r="A65" s="177">
        <v>6.1</v>
      </c>
      <c r="B65" s="61" t="s">
        <v>97</v>
      </c>
      <c r="C65" s="15">
        <v>12</v>
      </c>
      <c r="D65" s="14" t="s">
        <v>14</v>
      </c>
      <c r="E65" s="53">
        <v>50</v>
      </c>
      <c r="F65" s="16">
        <f t="shared" ref="F65:F71" si="9">E65*C65</f>
        <v>600</v>
      </c>
    </row>
    <row r="66" spans="1:6" ht="15" customHeight="1" x14ac:dyDescent="0.2">
      <c r="A66" s="177">
        <v>6.2</v>
      </c>
      <c r="B66" s="61" t="s">
        <v>98</v>
      </c>
      <c r="C66" s="15">
        <v>0</v>
      </c>
      <c r="D66" s="14" t="s">
        <v>11</v>
      </c>
      <c r="E66" s="53">
        <v>60</v>
      </c>
      <c r="F66" s="16">
        <f t="shared" si="9"/>
        <v>0</v>
      </c>
    </row>
    <row r="67" spans="1:6" ht="15" customHeight="1" x14ac:dyDescent="0.2">
      <c r="A67" s="177">
        <v>6.3</v>
      </c>
      <c r="B67" s="61" t="s">
        <v>99</v>
      </c>
      <c r="C67" s="15">
        <f>ROUNDUP(88*9.5,0)</f>
        <v>836</v>
      </c>
      <c r="D67" s="14" t="s">
        <v>11</v>
      </c>
      <c r="E67" s="53">
        <v>2.5</v>
      </c>
      <c r="F67" s="16">
        <f t="shared" si="9"/>
        <v>2090</v>
      </c>
    </row>
    <row r="68" spans="1:6" ht="15" customHeight="1" x14ac:dyDescent="0.25">
      <c r="A68" s="165">
        <v>7</v>
      </c>
      <c r="B68" s="70" t="s">
        <v>100</v>
      </c>
      <c r="C68" s="71"/>
      <c r="D68" s="72"/>
      <c r="E68" s="73"/>
      <c r="F68" s="74">
        <f>SUM(F69:F72)</f>
        <v>133400</v>
      </c>
    </row>
    <row r="69" spans="1:6" ht="15" customHeight="1" x14ac:dyDescent="0.2">
      <c r="A69" s="177">
        <v>7.1</v>
      </c>
      <c r="B69" s="61" t="s">
        <v>101</v>
      </c>
      <c r="C69" s="15">
        <v>1</v>
      </c>
      <c r="D69" s="14" t="s">
        <v>14</v>
      </c>
      <c r="E69" s="53">
        <v>100000</v>
      </c>
      <c r="F69" s="16">
        <f t="shared" si="9"/>
        <v>100000</v>
      </c>
    </row>
    <row r="70" spans="1:6" ht="15" customHeight="1" x14ac:dyDescent="0.2">
      <c r="A70" s="177">
        <v>7.2</v>
      </c>
      <c r="B70" s="61" t="s">
        <v>102</v>
      </c>
      <c r="C70" s="15">
        <v>0</v>
      </c>
      <c r="D70" s="14" t="s">
        <v>14</v>
      </c>
      <c r="E70" s="53">
        <v>80000</v>
      </c>
      <c r="F70" s="16">
        <f t="shared" si="9"/>
        <v>0</v>
      </c>
    </row>
    <row r="71" spans="1:6" ht="15" customHeight="1" x14ac:dyDescent="0.2">
      <c r="A71" s="177">
        <v>7.3</v>
      </c>
      <c r="B71" s="61" t="s">
        <v>103</v>
      </c>
      <c r="C71" s="15">
        <v>100</v>
      </c>
      <c r="D71" s="14" t="s">
        <v>51</v>
      </c>
      <c r="E71" s="53">
        <v>160</v>
      </c>
      <c r="F71" s="16">
        <f t="shared" si="9"/>
        <v>16000</v>
      </c>
    </row>
    <row r="72" spans="1:6" ht="15" customHeight="1" x14ac:dyDescent="0.2">
      <c r="A72" s="177">
        <v>7.4</v>
      </c>
      <c r="B72" s="61" t="s">
        <v>104</v>
      </c>
      <c r="C72" s="15">
        <v>15</v>
      </c>
      <c r="D72" s="14" t="s">
        <v>105</v>
      </c>
      <c r="E72" s="53">
        <f>SUM(F69:F71)</f>
        <v>116000</v>
      </c>
      <c r="F72" s="16">
        <f>E72*C72/100</f>
        <v>17400</v>
      </c>
    </row>
    <row r="73" spans="1:6" ht="15" customHeight="1" x14ac:dyDescent="0.25">
      <c r="A73" s="165">
        <v>8</v>
      </c>
      <c r="B73" s="70" t="s">
        <v>106</v>
      </c>
      <c r="C73" s="71"/>
      <c r="D73" s="72"/>
      <c r="E73" s="73"/>
      <c r="F73" s="74">
        <f>SUM(F74:F79)</f>
        <v>90228.778099999996</v>
      </c>
    </row>
    <row r="74" spans="1:6" ht="15" customHeight="1" x14ac:dyDescent="0.2">
      <c r="A74" s="177">
        <v>8.1</v>
      </c>
      <c r="B74" s="61" t="s">
        <v>107</v>
      </c>
      <c r="C74" s="15">
        <v>1</v>
      </c>
      <c r="D74" s="14" t="s">
        <v>14</v>
      </c>
      <c r="E74" s="53">
        <v>27000</v>
      </c>
      <c r="F74" s="16">
        <f t="shared" ref="F74:F76" si="10">C74*E74</f>
        <v>27000</v>
      </c>
    </row>
    <row r="75" spans="1:6" ht="15" customHeight="1" x14ac:dyDescent="0.2">
      <c r="A75" s="177">
        <v>8.1999999999999993</v>
      </c>
      <c r="B75" s="61" t="s">
        <v>108</v>
      </c>
      <c r="C75" s="15">
        <v>21</v>
      </c>
      <c r="D75" s="14" t="s">
        <v>14</v>
      </c>
      <c r="E75" s="53">
        <v>280</v>
      </c>
      <c r="F75" s="16">
        <f t="shared" si="10"/>
        <v>5880</v>
      </c>
    </row>
    <row r="76" spans="1:6" ht="15" customHeight="1" x14ac:dyDescent="0.2">
      <c r="A76" s="177">
        <v>8.3000000000000007</v>
      </c>
      <c r="B76" s="61" t="s">
        <v>109</v>
      </c>
      <c r="C76" s="15">
        <v>1</v>
      </c>
      <c r="D76" s="14" t="s">
        <v>14</v>
      </c>
      <c r="E76" s="53">
        <f>0.015*(F46+F31+F12)</f>
        <v>1605.2781</v>
      </c>
      <c r="F76" s="16">
        <f t="shared" si="10"/>
        <v>1605.2781</v>
      </c>
    </row>
    <row r="77" spans="1:6" ht="15" customHeight="1" x14ac:dyDescent="0.2">
      <c r="A77" s="177">
        <v>8.4</v>
      </c>
      <c r="B77" s="61" t="s">
        <v>110</v>
      </c>
      <c r="C77" s="15">
        <v>1</v>
      </c>
      <c r="D77" s="14" t="s">
        <v>14</v>
      </c>
      <c r="E77" s="53">
        <f>0.15*F64</f>
        <v>403.5</v>
      </c>
      <c r="F77" s="16">
        <f>C77*E77</f>
        <v>403.5</v>
      </c>
    </row>
    <row r="78" spans="1:6" ht="15" customHeight="1" x14ac:dyDescent="0.2">
      <c r="A78" s="177">
        <v>8.5</v>
      </c>
      <c r="B78" s="61" t="s">
        <v>111</v>
      </c>
      <c r="C78" s="15">
        <v>10</v>
      </c>
      <c r="D78" s="14" t="s">
        <v>112</v>
      </c>
      <c r="E78" s="53">
        <f>F62*0.015</f>
        <v>4200</v>
      </c>
      <c r="F78" s="16">
        <f>C78*E78</f>
        <v>42000</v>
      </c>
    </row>
    <row r="79" spans="1:6" ht="15" customHeight="1" x14ac:dyDescent="0.2">
      <c r="A79" s="177">
        <v>8.6</v>
      </c>
      <c r="B79" s="61" t="s">
        <v>113</v>
      </c>
      <c r="C79" s="15">
        <v>1</v>
      </c>
      <c r="D79" s="14" t="s">
        <v>14</v>
      </c>
      <c r="E79" s="53">
        <f>0.1*F68</f>
        <v>13340</v>
      </c>
      <c r="F79" s="16">
        <f>C79*E79</f>
        <v>13340</v>
      </c>
    </row>
    <row r="80" spans="1:6" ht="15" customHeight="1" x14ac:dyDescent="0.25">
      <c r="A80" s="165">
        <v>9</v>
      </c>
      <c r="B80" s="70" t="s">
        <v>114</v>
      </c>
      <c r="C80" s="71"/>
      <c r="D80" s="72"/>
      <c r="E80" s="73"/>
      <c r="F80" s="74">
        <f>SUM(F81:F83)</f>
        <v>0</v>
      </c>
    </row>
    <row r="84" spans="1:6" ht="15" customHeight="1" x14ac:dyDescent="0.25">
      <c r="A84" s="92"/>
      <c r="B84" s="160" t="s">
        <v>115</v>
      </c>
      <c r="C84" s="75"/>
      <c r="D84" s="76"/>
      <c r="E84" s="83"/>
      <c r="F84" s="181">
        <f>SUM(F5,F12,F31,F46,F61,F64,F68,F73,F80)</f>
        <v>644254.87950000004</v>
      </c>
    </row>
    <row r="85" spans="1:6" ht="15" customHeight="1" x14ac:dyDescent="0.25">
      <c r="A85" s="165">
        <v>10</v>
      </c>
      <c r="B85" s="70" t="s">
        <v>116</v>
      </c>
      <c r="C85" s="71"/>
      <c r="D85" s="72"/>
      <c r="E85" s="73"/>
      <c r="F85" s="74"/>
    </row>
    <row r="86" spans="1:6" ht="15" customHeight="1" x14ac:dyDescent="0.2">
      <c r="A86" s="177">
        <v>10.1</v>
      </c>
      <c r="B86" s="61" t="s">
        <v>117</v>
      </c>
      <c r="C86" s="166">
        <v>3.25</v>
      </c>
      <c r="D86" s="14" t="s">
        <v>105</v>
      </c>
      <c r="E86" s="175"/>
      <c r="F86" s="176">
        <f>C86%*F$84</f>
        <v>20938.283583750002</v>
      </c>
    </row>
    <row r="87" spans="1:6" ht="15" customHeight="1" x14ac:dyDescent="0.2">
      <c r="A87" s="177">
        <v>10.199999999999999</v>
      </c>
      <c r="B87" s="61" t="s">
        <v>118</v>
      </c>
      <c r="C87" s="166">
        <v>1</v>
      </c>
      <c r="D87" s="14" t="s">
        <v>105</v>
      </c>
      <c r="E87" s="175"/>
      <c r="F87" s="176">
        <f t="shared" ref="F87:F93" si="11">C87%*F$84</f>
        <v>6442.5487950000006</v>
      </c>
    </row>
    <row r="88" spans="1:6" ht="15" customHeight="1" x14ac:dyDescent="0.2">
      <c r="A88" s="177">
        <v>10.3</v>
      </c>
      <c r="B88" s="61" t="s">
        <v>119</v>
      </c>
      <c r="C88" s="166">
        <v>5</v>
      </c>
      <c r="D88" s="14" t="s">
        <v>105</v>
      </c>
      <c r="E88" s="175"/>
      <c r="F88" s="176">
        <f t="shared" si="11"/>
        <v>32212.743975000005</v>
      </c>
    </row>
    <row r="89" spans="1:6" ht="15" customHeight="1" x14ac:dyDescent="0.2">
      <c r="A89" s="177">
        <v>10.4</v>
      </c>
      <c r="B89" s="61" t="s">
        <v>120</v>
      </c>
      <c r="C89" s="166">
        <v>0.5</v>
      </c>
      <c r="D89" s="14" t="s">
        <v>105</v>
      </c>
      <c r="E89" s="175"/>
      <c r="F89" s="176">
        <f t="shared" si="11"/>
        <v>3221.2743975000003</v>
      </c>
    </row>
    <row r="90" spans="1:6" ht="15" customHeight="1" x14ac:dyDescent="0.2">
      <c r="A90" s="177">
        <v>10.5</v>
      </c>
      <c r="B90" s="61" t="s">
        <v>121</v>
      </c>
      <c r="C90" s="166">
        <v>5</v>
      </c>
      <c r="D90" s="14" t="s">
        <v>105</v>
      </c>
      <c r="E90" s="175"/>
      <c r="F90" s="176">
        <f t="shared" si="11"/>
        <v>32212.743975000005</v>
      </c>
    </row>
    <row r="91" spans="1:6" ht="15" customHeight="1" x14ac:dyDescent="0.2">
      <c r="A91" s="177">
        <v>10.6</v>
      </c>
      <c r="B91" s="61" t="s">
        <v>122</v>
      </c>
      <c r="C91" s="166">
        <v>9</v>
      </c>
      <c r="D91" s="14" t="s">
        <v>105</v>
      </c>
      <c r="E91" s="175"/>
      <c r="F91" s="176">
        <f t="shared" si="11"/>
        <v>57982.939155</v>
      </c>
    </row>
    <row r="92" spans="1:6" ht="15" customHeight="1" x14ac:dyDescent="0.2">
      <c r="A92" s="177">
        <v>10.7</v>
      </c>
      <c r="B92" s="61" t="s">
        <v>123</v>
      </c>
      <c r="C92" s="166">
        <v>2.5</v>
      </c>
      <c r="D92" s="14" t="s">
        <v>105</v>
      </c>
      <c r="E92" s="175"/>
      <c r="F92" s="176">
        <f t="shared" si="11"/>
        <v>16106.371987500002</v>
      </c>
    </row>
    <row r="93" spans="1:6" ht="15" customHeight="1" x14ac:dyDescent="0.2">
      <c r="A93" s="177">
        <v>10.8</v>
      </c>
      <c r="B93" s="61" t="s">
        <v>124</v>
      </c>
      <c r="C93" s="166">
        <v>15</v>
      </c>
      <c r="D93" s="14" t="s">
        <v>105</v>
      </c>
      <c r="E93" s="175"/>
      <c r="F93" s="176">
        <f t="shared" si="11"/>
        <v>96638.231925</v>
      </c>
    </row>
    <row r="94" spans="1:6" ht="15" customHeight="1" x14ac:dyDescent="0.25">
      <c r="A94" s="92"/>
      <c r="B94" s="160" t="s">
        <v>125</v>
      </c>
      <c r="C94" s="75"/>
      <c r="D94" s="76"/>
      <c r="E94" s="83"/>
      <c r="F94" s="181">
        <f>SUM(F84:F93)</f>
        <v>910010.01729374996</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F94"/>
  <sheetViews>
    <sheetView tabSelected="1" workbookViewId="0">
      <selection activeCell="F94" sqref="F94"/>
    </sheetView>
  </sheetViews>
  <sheetFormatPr defaultColWidth="9.140625" defaultRowHeight="15" customHeight="1" x14ac:dyDescent="0.2"/>
  <cols>
    <col min="1" max="1" width="12.7109375" style="162" customWidth="1"/>
    <col min="2" max="2" width="50.7109375" style="162" customWidth="1"/>
    <col min="3" max="4" width="12.7109375" style="162" customWidth="1"/>
    <col min="5" max="6" width="15.7109375" style="162" customWidth="1"/>
    <col min="7" max="16384" width="9.140625" style="162"/>
  </cols>
  <sheetData>
    <row r="1" spans="1:6" ht="15" customHeight="1" x14ac:dyDescent="0.25">
      <c r="A1" s="1" t="s">
        <v>0</v>
      </c>
      <c r="F1" s="161">
        <v>43544</v>
      </c>
    </row>
    <row r="2" spans="1:6" ht="15" customHeight="1" x14ac:dyDescent="0.25">
      <c r="A2" s="1" t="s">
        <v>133</v>
      </c>
    </row>
    <row r="4" spans="1:6" ht="30" x14ac:dyDescent="0.2">
      <c r="A4" s="182" t="s">
        <v>2</v>
      </c>
      <c r="B4" s="182" t="s">
        <v>3</v>
      </c>
      <c r="C4" s="182" t="s">
        <v>4</v>
      </c>
      <c r="D4" s="182" t="s">
        <v>5</v>
      </c>
      <c r="E4" s="183" t="s">
        <v>6</v>
      </c>
      <c r="F4" s="183" t="s">
        <v>7</v>
      </c>
    </row>
    <row r="5" spans="1:6" ht="15" customHeight="1" x14ac:dyDescent="0.25">
      <c r="A5" s="165">
        <v>1</v>
      </c>
      <c r="B5" s="70" t="s">
        <v>8</v>
      </c>
      <c r="C5" s="71"/>
      <c r="D5" s="72"/>
      <c r="E5" s="79"/>
      <c r="F5" s="74">
        <f>SUM(F6:F11)</f>
        <v>167370.98749999999</v>
      </c>
    </row>
    <row r="6" spans="1:6" ht="15" customHeight="1" x14ac:dyDescent="0.2">
      <c r="A6" s="177">
        <v>1.1000000000000001</v>
      </c>
      <c r="B6" s="127" t="s">
        <v>9</v>
      </c>
      <c r="C6" s="167">
        <f>C7</f>
        <v>11108.3</v>
      </c>
      <c r="D6" s="173" t="s">
        <v>11</v>
      </c>
      <c r="E6" s="174">
        <v>5</v>
      </c>
      <c r="F6" s="170">
        <f t="shared" ref="F6:F11" si="0">C6*E6</f>
        <v>55541.5</v>
      </c>
    </row>
    <row r="7" spans="1:6" ht="15" customHeight="1" x14ac:dyDescent="0.2">
      <c r="A7" s="177">
        <v>1.2</v>
      </c>
      <c r="B7" s="127" t="s">
        <v>12</v>
      </c>
      <c r="C7" s="167">
        <f>ROUNDUP(C33/2*5,0)+C43+C40+(C14+C20+C26)*0.2</f>
        <v>11108.3</v>
      </c>
      <c r="D7" s="173" t="s">
        <v>11</v>
      </c>
      <c r="E7" s="174">
        <v>7</v>
      </c>
      <c r="F7" s="170">
        <f t="shared" si="0"/>
        <v>77758.099999999991</v>
      </c>
    </row>
    <row r="8" spans="1:6" ht="15" customHeight="1" x14ac:dyDescent="0.2">
      <c r="A8" s="177">
        <v>1.3</v>
      </c>
      <c r="B8" s="127" t="s">
        <v>13</v>
      </c>
      <c r="C8" s="167">
        <v>1</v>
      </c>
      <c r="D8" s="173" t="s">
        <v>14</v>
      </c>
      <c r="E8" s="174">
        <v>2000</v>
      </c>
      <c r="F8" s="170">
        <f t="shared" si="0"/>
        <v>2000</v>
      </c>
    </row>
    <row r="9" spans="1:6" ht="15" customHeight="1" x14ac:dyDescent="0.2">
      <c r="A9" s="177">
        <v>1.4</v>
      </c>
      <c r="B9" s="127" t="s">
        <v>15</v>
      </c>
      <c r="C9" s="167">
        <v>1</v>
      </c>
      <c r="D9" s="173" t="s">
        <v>14</v>
      </c>
      <c r="E9" s="174">
        <v>2000</v>
      </c>
      <c r="F9" s="170">
        <f t="shared" si="0"/>
        <v>2000</v>
      </c>
    </row>
    <row r="10" spans="1:6" ht="15" customHeight="1" x14ac:dyDescent="0.2">
      <c r="A10" s="177">
        <v>1.5</v>
      </c>
      <c r="B10" s="127" t="s">
        <v>16</v>
      </c>
      <c r="C10" s="167">
        <f>(C16*0.4+C37*0.25+C43*0.175+C17*0.3)*0.6</f>
        <v>453.33749999999998</v>
      </c>
      <c r="D10" s="173" t="s">
        <v>17</v>
      </c>
      <c r="E10" s="174">
        <v>45</v>
      </c>
      <c r="F10" s="170">
        <f t="shared" si="0"/>
        <v>20400.1875</v>
      </c>
    </row>
    <row r="11" spans="1:6" ht="15" customHeight="1" x14ac:dyDescent="0.2">
      <c r="A11" s="177">
        <v>1.6</v>
      </c>
      <c r="B11" s="127" t="s">
        <v>18</v>
      </c>
      <c r="C11" s="167">
        <f>(C16*0.4+C37*0.25+C43*0.175+C17*0.3)*0.4</f>
        <v>302.22500000000002</v>
      </c>
      <c r="D11" s="173" t="s">
        <v>17</v>
      </c>
      <c r="E11" s="174">
        <v>32</v>
      </c>
      <c r="F11" s="170">
        <f t="shared" si="0"/>
        <v>9671.2000000000007</v>
      </c>
    </row>
    <row r="12" spans="1:6" ht="15" customHeight="1" x14ac:dyDescent="0.25">
      <c r="A12" s="165">
        <v>2</v>
      </c>
      <c r="B12" s="70" t="s">
        <v>19</v>
      </c>
      <c r="C12" s="71"/>
      <c r="D12" s="72"/>
      <c r="E12" s="79"/>
      <c r="F12" s="74">
        <f>SUM(F14:F30)</f>
        <v>1977242.12</v>
      </c>
    </row>
    <row r="13" spans="1:6" ht="15" customHeight="1" x14ac:dyDescent="0.25">
      <c r="A13" s="163">
        <v>2.1</v>
      </c>
      <c r="B13" s="62" t="s">
        <v>20</v>
      </c>
      <c r="C13" s="167"/>
      <c r="D13" s="168"/>
      <c r="E13" s="172"/>
      <c r="F13" s="170"/>
    </row>
    <row r="14" spans="1:6" ht="15" customHeight="1" x14ac:dyDescent="0.2">
      <c r="A14" s="164" t="s">
        <v>21</v>
      </c>
      <c r="B14" s="127" t="s">
        <v>22</v>
      </c>
      <c r="C14" s="167">
        <v>0</v>
      </c>
      <c r="D14" s="173" t="s">
        <v>11</v>
      </c>
      <c r="E14" s="174">
        <v>27</v>
      </c>
      <c r="F14" s="170">
        <f t="shared" ref="F14:F18" si="1">C14*E14</f>
        <v>0</v>
      </c>
    </row>
    <row r="15" spans="1:6" ht="15" customHeight="1" x14ac:dyDescent="0.2">
      <c r="A15" s="164" t="s">
        <v>23</v>
      </c>
      <c r="B15" s="127" t="s">
        <v>24</v>
      </c>
      <c r="C15" s="167">
        <f>C14</f>
        <v>0</v>
      </c>
      <c r="D15" s="173" t="s">
        <v>11</v>
      </c>
      <c r="E15" s="174">
        <f>ROUNDUP(32*100/75,0)</f>
        <v>43</v>
      </c>
      <c r="F15" s="170">
        <f t="shared" si="1"/>
        <v>0</v>
      </c>
    </row>
    <row r="16" spans="1:6" ht="15" customHeight="1" x14ac:dyDescent="0.2">
      <c r="A16" s="164" t="s">
        <v>25</v>
      </c>
      <c r="B16" s="127" t="s">
        <v>26</v>
      </c>
      <c r="C16" s="167">
        <v>0</v>
      </c>
      <c r="D16" s="173" t="s">
        <v>11</v>
      </c>
      <c r="E16" s="174">
        <f>ROUNDUP(18*260/110,0)</f>
        <v>43</v>
      </c>
      <c r="F16" s="170">
        <f t="shared" si="1"/>
        <v>0</v>
      </c>
    </row>
    <row r="17" spans="1:6" ht="15" customHeight="1" x14ac:dyDescent="0.2">
      <c r="A17" s="164" t="s">
        <v>27</v>
      </c>
      <c r="B17" s="127" t="s">
        <v>28</v>
      </c>
      <c r="C17" s="167">
        <f>C16*0.2</f>
        <v>0</v>
      </c>
      <c r="D17" s="173" t="s">
        <v>11</v>
      </c>
      <c r="E17" s="174">
        <v>24</v>
      </c>
      <c r="F17" s="170">
        <f t="shared" si="1"/>
        <v>0</v>
      </c>
    </row>
    <row r="18" spans="1:6" ht="15" customHeight="1" x14ac:dyDescent="0.2">
      <c r="A18" s="164" t="s">
        <v>29</v>
      </c>
      <c r="B18" s="127" t="s">
        <v>30</v>
      </c>
      <c r="C18" s="167">
        <f>C16*0.1</f>
        <v>0</v>
      </c>
      <c r="D18" s="173" t="s">
        <v>11</v>
      </c>
      <c r="E18" s="174">
        <v>110</v>
      </c>
      <c r="F18" s="170">
        <f t="shared" si="1"/>
        <v>0</v>
      </c>
    </row>
    <row r="19" spans="1:6" ht="15" customHeight="1" x14ac:dyDescent="0.25">
      <c r="A19" s="163">
        <v>2.2000000000000002</v>
      </c>
      <c r="B19" s="62" t="s">
        <v>31</v>
      </c>
      <c r="C19" s="167"/>
      <c r="D19" s="168"/>
      <c r="E19" s="172"/>
      <c r="F19" s="170"/>
    </row>
    <row r="20" spans="1:6" ht="15" customHeight="1" x14ac:dyDescent="0.2">
      <c r="A20" s="164" t="s">
        <v>32</v>
      </c>
      <c r="B20" s="127" t="s">
        <v>22</v>
      </c>
      <c r="C20" s="167">
        <f>ROUNDUP(25*3/2+127*13.6+180*13.6+180*13.6+194*6.8+185*6.8+180*6.8+187*6.8,0)</f>
        <v>11734</v>
      </c>
      <c r="D20" s="173" t="s">
        <v>11</v>
      </c>
      <c r="E20" s="174">
        <v>27</v>
      </c>
      <c r="F20" s="170">
        <f t="shared" ref="F20:F24" si="2">C20*E20</f>
        <v>316818</v>
      </c>
    </row>
    <row r="21" spans="1:6" ht="15" customHeight="1" x14ac:dyDescent="0.2">
      <c r="A21" s="164" t="s">
        <v>33</v>
      </c>
      <c r="B21" s="127" t="s">
        <v>34</v>
      </c>
      <c r="C21" s="167">
        <f>C20</f>
        <v>11734</v>
      </c>
      <c r="D21" s="173" t="s">
        <v>11</v>
      </c>
      <c r="E21" s="174">
        <f>ROUNDUP(32*150/75,0)</f>
        <v>64</v>
      </c>
      <c r="F21" s="170">
        <f t="shared" si="2"/>
        <v>750976</v>
      </c>
    </row>
    <row r="22" spans="1:6" ht="15" customHeight="1" x14ac:dyDescent="0.2">
      <c r="A22" s="164" t="s">
        <v>35</v>
      </c>
      <c r="B22" s="127" t="s">
        <v>36</v>
      </c>
      <c r="C22" s="167">
        <f>C21+(C35*0.45)+(C33*0.75)</f>
        <v>13821.4</v>
      </c>
      <c r="D22" s="173" t="s">
        <v>11</v>
      </c>
      <c r="E22" s="174">
        <f>ROUNDUP(18*300/110,0)</f>
        <v>50</v>
      </c>
      <c r="F22" s="170">
        <f t="shared" si="2"/>
        <v>691070</v>
      </c>
    </row>
    <row r="23" spans="1:6" ht="15" customHeight="1" x14ac:dyDescent="0.2">
      <c r="A23" s="164" t="s">
        <v>37</v>
      </c>
      <c r="B23" s="127" t="s">
        <v>28</v>
      </c>
      <c r="C23" s="167">
        <f>C22*0.2</f>
        <v>2764.28</v>
      </c>
      <c r="D23" s="173" t="s">
        <v>11</v>
      </c>
      <c r="E23" s="174">
        <v>24</v>
      </c>
      <c r="F23" s="170">
        <f t="shared" si="2"/>
        <v>66342.720000000001</v>
      </c>
    </row>
    <row r="24" spans="1:6" ht="15" customHeight="1" x14ac:dyDescent="0.2">
      <c r="A24" s="164" t="s">
        <v>38</v>
      </c>
      <c r="B24" s="127" t="s">
        <v>30</v>
      </c>
      <c r="C24" s="167">
        <f>C22*0.1</f>
        <v>1382.14</v>
      </c>
      <c r="D24" s="173" t="s">
        <v>11</v>
      </c>
      <c r="E24" s="174">
        <v>110</v>
      </c>
      <c r="F24" s="170">
        <f t="shared" si="2"/>
        <v>152035.40000000002</v>
      </c>
    </row>
    <row r="25" spans="1:6" ht="15" customHeight="1" x14ac:dyDescent="0.25">
      <c r="A25" s="163">
        <v>2.2999999999999998</v>
      </c>
      <c r="B25" s="62" t="s">
        <v>39</v>
      </c>
      <c r="C25" s="179"/>
      <c r="D25" s="179"/>
      <c r="E25" s="179"/>
      <c r="F25" s="180"/>
    </row>
    <row r="26" spans="1:6" ht="15" customHeight="1" x14ac:dyDescent="0.2">
      <c r="A26" s="164" t="s">
        <v>40</v>
      </c>
      <c r="B26" s="127" t="s">
        <v>41</v>
      </c>
      <c r="C26" s="167">
        <v>0</v>
      </c>
      <c r="D26" s="173" t="s">
        <v>11</v>
      </c>
      <c r="E26" s="174">
        <f>ROUNDUP(E14*0.85,0)</f>
        <v>23</v>
      </c>
      <c r="F26" s="170">
        <f t="shared" ref="F26:F30" si="3">C26*E26</f>
        <v>0</v>
      </c>
    </row>
    <row r="27" spans="1:6" ht="15" customHeight="1" x14ac:dyDescent="0.2">
      <c r="A27" s="164" t="s">
        <v>42</v>
      </c>
      <c r="B27" s="127" t="s">
        <v>24</v>
      </c>
      <c r="C27" s="167">
        <f>C26</f>
        <v>0</v>
      </c>
      <c r="D27" s="173" t="s">
        <v>11</v>
      </c>
      <c r="E27" s="174">
        <f>E15</f>
        <v>43</v>
      </c>
      <c r="F27" s="170">
        <f t="shared" si="3"/>
        <v>0</v>
      </c>
    </row>
    <row r="28" spans="1:6" ht="15" customHeight="1" x14ac:dyDescent="0.2">
      <c r="A28" s="164" t="s">
        <v>43</v>
      </c>
      <c r="B28" s="127" t="s">
        <v>44</v>
      </c>
      <c r="C28" s="167">
        <v>0</v>
      </c>
      <c r="D28" s="173" t="s">
        <v>11</v>
      </c>
      <c r="E28" s="174">
        <f>E16</f>
        <v>43</v>
      </c>
      <c r="F28" s="170">
        <f t="shared" si="3"/>
        <v>0</v>
      </c>
    </row>
    <row r="29" spans="1:6" ht="15" customHeight="1" x14ac:dyDescent="0.2">
      <c r="A29" s="164" t="s">
        <v>45</v>
      </c>
      <c r="B29" s="127" t="s">
        <v>28</v>
      </c>
      <c r="C29" s="167">
        <f>C28*0.2</f>
        <v>0</v>
      </c>
      <c r="D29" s="173" t="s">
        <v>11</v>
      </c>
      <c r="E29" s="174">
        <f>E17</f>
        <v>24</v>
      </c>
      <c r="F29" s="170">
        <f t="shared" si="3"/>
        <v>0</v>
      </c>
    </row>
    <row r="30" spans="1:6" ht="15" customHeight="1" x14ac:dyDescent="0.2">
      <c r="A30" s="164" t="s">
        <v>46</v>
      </c>
      <c r="B30" s="127" t="s">
        <v>30</v>
      </c>
      <c r="C30" s="167">
        <f>C28*0.1</f>
        <v>0</v>
      </c>
      <c r="D30" s="173" t="s">
        <v>11</v>
      </c>
      <c r="E30" s="174">
        <f>E18</f>
        <v>110</v>
      </c>
      <c r="F30" s="170">
        <f t="shared" si="3"/>
        <v>0</v>
      </c>
    </row>
    <row r="31" spans="1:6" x14ac:dyDescent="0.25">
      <c r="A31" s="165">
        <v>3</v>
      </c>
      <c r="B31" s="70" t="s">
        <v>47</v>
      </c>
      <c r="C31" s="71"/>
      <c r="D31" s="72"/>
      <c r="E31" s="79"/>
      <c r="F31" s="74">
        <f>SUM(F33:F45)</f>
        <v>580287.5</v>
      </c>
    </row>
    <row r="32" spans="1:6" ht="15" customHeight="1" x14ac:dyDescent="0.25">
      <c r="A32" s="177">
        <v>3.1</v>
      </c>
      <c r="B32" s="62" t="s">
        <v>48</v>
      </c>
      <c r="C32" s="15"/>
      <c r="D32" s="14"/>
      <c r="E32" s="53"/>
      <c r="F32" s="16"/>
    </row>
    <row r="33" spans="1:6" ht="15" customHeight="1" x14ac:dyDescent="0.2">
      <c r="A33" s="178" t="s">
        <v>49</v>
      </c>
      <c r="B33" s="61" t="s">
        <v>50</v>
      </c>
      <c r="C33" s="167">
        <f>127+129+380+380+379+367</f>
        <v>1762</v>
      </c>
      <c r="D33" s="168" t="s">
        <v>51</v>
      </c>
      <c r="E33" s="169">
        <v>64</v>
      </c>
      <c r="F33" s="170">
        <f t="shared" ref="F33:F35" si="4">SUM(E33*C33)</f>
        <v>112768</v>
      </c>
    </row>
    <row r="34" spans="1:6" ht="15" customHeight="1" x14ac:dyDescent="0.2">
      <c r="A34" s="178" t="s">
        <v>52</v>
      </c>
      <c r="B34" s="61" t="s">
        <v>53</v>
      </c>
      <c r="C34" s="167">
        <v>0</v>
      </c>
      <c r="D34" s="168" t="s">
        <v>51</v>
      </c>
      <c r="E34" s="169">
        <v>61</v>
      </c>
      <c r="F34" s="170">
        <f t="shared" si="4"/>
        <v>0</v>
      </c>
    </row>
    <row r="35" spans="1:6" ht="15" customHeight="1" x14ac:dyDescent="0.2">
      <c r="A35" s="178" t="s">
        <v>54</v>
      </c>
      <c r="B35" s="61" t="s">
        <v>55</v>
      </c>
      <c r="C35" s="167">
        <f>196+380+380+379+367</f>
        <v>1702</v>
      </c>
      <c r="D35" s="168" t="s">
        <v>51</v>
      </c>
      <c r="E35" s="169">
        <v>52</v>
      </c>
      <c r="F35" s="170">
        <f t="shared" si="4"/>
        <v>88504</v>
      </c>
    </row>
    <row r="36" spans="1:6" x14ac:dyDescent="0.25">
      <c r="A36" s="177">
        <v>3.2</v>
      </c>
      <c r="B36" s="62" t="s">
        <v>56</v>
      </c>
      <c r="C36" s="171"/>
      <c r="D36" s="171"/>
      <c r="E36" s="171"/>
      <c r="F36" s="171"/>
    </row>
    <row r="37" spans="1:6" ht="14.25" x14ac:dyDescent="0.2">
      <c r="A37" s="178" t="s">
        <v>57</v>
      </c>
      <c r="B37" s="61" t="s">
        <v>58</v>
      </c>
      <c r="C37" s="167">
        <v>0</v>
      </c>
      <c r="D37" s="168" t="s">
        <v>11</v>
      </c>
      <c r="E37" s="169">
        <v>70</v>
      </c>
      <c r="F37" s="170">
        <f>SUM(E37*C37)</f>
        <v>0</v>
      </c>
    </row>
    <row r="38" spans="1:6" ht="15" customHeight="1" x14ac:dyDescent="0.2">
      <c r="A38" s="178" t="s">
        <v>59</v>
      </c>
      <c r="B38" s="61" t="s">
        <v>60</v>
      </c>
      <c r="C38" s="167">
        <f>C37</f>
        <v>0</v>
      </c>
      <c r="D38" s="168" t="s">
        <v>11</v>
      </c>
      <c r="E38" s="169">
        <v>35</v>
      </c>
      <c r="F38" s="170">
        <f>SUM(E38*C38)</f>
        <v>0</v>
      </c>
    </row>
    <row r="39" spans="1:6" ht="15" customHeight="1" x14ac:dyDescent="0.25">
      <c r="A39" s="177">
        <v>3.3</v>
      </c>
      <c r="B39" s="62" t="s">
        <v>61</v>
      </c>
      <c r="E39" s="169"/>
      <c r="F39" s="170"/>
    </row>
    <row r="40" spans="1:6" ht="15" customHeight="1" x14ac:dyDescent="0.2">
      <c r="A40" s="178" t="s">
        <v>62</v>
      </c>
      <c r="B40" s="61" t="s">
        <v>63</v>
      </c>
      <c r="C40" s="167">
        <f>26*1.5</f>
        <v>39</v>
      </c>
      <c r="D40" s="168" t="s">
        <v>11</v>
      </c>
      <c r="E40" s="169">
        <f>ROUNDUP(E37*125/150,0)</f>
        <v>59</v>
      </c>
      <c r="F40" s="170">
        <f t="shared" ref="F40:F41" si="5">SUM(E40*C40)</f>
        <v>2301</v>
      </c>
    </row>
    <row r="41" spans="1:6" ht="15" customHeight="1" x14ac:dyDescent="0.2">
      <c r="A41" s="178" t="s">
        <v>64</v>
      </c>
      <c r="B41" s="61" t="s">
        <v>65</v>
      </c>
      <c r="C41" s="167">
        <f>C40</f>
        <v>39</v>
      </c>
      <c r="D41" s="168" t="s">
        <v>11</v>
      </c>
      <c r="E41" s="169">
        <f>ROUNDUP(E38*0.8,0)</f>
        <v>28</v>
      </c>
      <c r="F41" s="170">
        <f t="shared" si="5"/>
        <v>1092</v>
      </c>
    </row>
    <row r="42" spans="1:6" ht="15" customHeight="1" x14ac:dyDescent="0.25">
      <c r="A42" s="177">
        <v>3.4</v>
      </c>
      <c r="B42" s="62" t="s">
        <v>66</v>
      </c>
      <c r="E42" s="169"/>
      <c r="F42" s="170"/>
    </row>
    <row r="43" spans="1:6" ht="15" customHeight="1" x14ac:dyDescent="0.2">
      <c r="A43" s="178" t="s">
        <v>67</v>
      </c>
      <c r="B43" s="61" t="s">
        <v>63</v>
      </c>
      <c r="C43" s="167">
        <f>(154+112+360+360+197+180+173+191)*2.5</f>
        <v>4317.5</v>
      </c>
      <c r="D43" s="168" t="s">
        <v>11</v>
      </c>
      <c r="E43" s="169">
        <f>E40</f>
        <v>59</v>
      </c>
      <c r="F43" s="170">
        <f t="shared" ref="F43:F45" si="6">SUM(E43*C43)</f>
        <v>254732.5</v>
      </c>
    </row>
    <row r="44" spans="1:6" ht="14.25" x14ac:dyDescent="0.2">
      <c r="A44" s="178" t="s">
        <v>68</v>
      </c>
      <c r="B44" s="61" t="s">
        <v>65</v>
      </c>
      <c r="C44" s="167">
        <f>C43</f>
        <v>4317.5</v>
      </c>
      <c r="D44" s="168" t="s">
        <v>11</v>
      </c>
      <c r="E44" s="169">
        <f>ROUNDUP(E38*0.8,0)</f>
        <v>28</v>
      </c>
      <c r="F44" s="170">
        <f t="shared" si="6"/>
        <v>120890</v>
      </c>
    </row>
    <row r="45" spans="1:6" ht="15" customHeight="1" x14ac:dyDescent="0.2">
      <c r="A45" s="177">
        <v>3.5</v>
      </c>
      <c r="B45" s="61" t="s">
        <v>69</v>
      </c>
      <c r="C45" s="167">
        <v>0</v>
      </c>
      <c r="D45" s="168" t="s">
        <v>14</v>
      </c>
      <c r="E45" s="169">
        <v>650</v>
      </c>
      <c r="F45" s="170">
        <f t="shared" si="6"/>
        <v>0</v>
      </c>
    </row>
    <row r="46" spans="1:6" ht="15" customHeight="1" x14ac:dyDescent="0.25">
      <c r="A46" s="165">
        <v>4</v>
      </c>
      <c r="B46" s="70" t="s">
        <v>70</v>
      </c>
      <c r="C46" s="71"/>
      <c r="D46" s="72"/>
      <c r="E46" s="79"/>
      <c r="F46" s="74">
        <f>SUM(F47:F60)</f>
        <v>692950</v>
      </c>
    </row>
    <row r="47" spans="1:6" ht="15" customHeight="1" x14ac:dyDescent="0.2">
      <c r="A47" s="177">
        <v>4.0999999999999996</v>
      </c>
      <c r="B47" s="61" t="s">
        <v>71</v>
      </c>
      <c r="C47" s="15">
        <v>20</v>
      </c>
      <c r="D47" s="14" t="s">
        <v>14</v>
      </c>
      <c r="E47" s="53">
        <v>4900</v>
      </c>
      <c r="F47" s="16">
        <f t="shared" ref="F47:F63" si="7">E47*C47</f>
        <v>98000</v>
      </c>
    </row>
    <row r="48" spans="1:6" ht="15" customHeight="1" x14ac:dyDescent="0.2">
      <c r="A48" s="177">
        <v>4.2</v>
      </c>
      <c r="B48" s="61" t="s">
        <v>72</v>
      </c>
      <c r="C48" s="15">
        <v>3</v>
      </c>
      <c r="D48" s="14" t="s">
        <v>14</v>
      </c>
      <c r="E48" s="53">
        <v>1650</v>
      </c>
      <c r="F48" s="16">
        <f t="shared" si="7"/>
        <v>4950</v>
      </c>
    </row>
    <row r="49" spans="1:6" ht="15" customHeight="1" x14ac:dyDescent="0.25">
      <c r="A49" s="177">
        <v>4.3</v>
      </c>
      <c r="B49" s="62" t="s">
        <v>73</v>
      </c>
      <c r="C49" s="15"/>
      <c r="D49" s="14"/>
      <c r="E49" s="53"/>
      <c r="F49" s="16"/>
    </row>
    <row r="50" spans="1:6" ht="15" customHeight="1" x14ac:dyDescent="0.2">
      <c r="A50" s="178" t="s">
        <v>74</v>
      </c>
      <c r="B50" s="61" t="s">
        <v>75</v>
      </c>
      <c r="C50" s="15">
        <v>0</v>
      </c>
      <c r="D50" s="14" t="s">
        <v>14</v>
      </c>
      <c r="E50" s="53">
        <v>4200</v>
      </c>
      <c r="F50" s="16">
        <f t="shared" si="7"/>
        <v>0</v>
      </c>
    </row>
    <row r="51" spans="1:6" ht="15" customHeight="1" x14ac:dyDescent="0.2">
      <c r="A51" s="178" t="s">
        <v>76</v>
      </c>
      <c r="B51" s="61" t="s">
        <v>77</v>
      </c>
      <c r="C51" s="15"/>
      <c r="D51" s="14" t="s">
        <v>14</v>
      </c>
      <c r="E51" s="53">
        <v>5300</v>
      </c>
      <c r="F51" s="16">
        <f t="shared" si="7"/>
        <v>0</v>
      </c>
    </row>
    <row r="52" spans="1:6" ht="15" customHeight="1" x14ac:dyDescent="0.25">
      <c r="A52" s="177">
        <v>4.4000000000000004</v>
      </c>
      <c r="B52" s="62" t="s">
        <v>78</v>
      </c>
      <c r="C52" s="15"/>
      <c r="D52" s="14"/>
      <c r="E52" s="53"/>
      <c r="F52" s="16"/>
    </row>
    <row r="53" spans="1:6" ht="15" customHeight="1" x14ac:dyDescent="0.2">
      <c r="A53" s="178" t="s">
        <v>79</v>
      </c>
      <c r="B53" s="61" t="s">
        <v>80</v>
      </c>
      <c r="C53" s="15">
        <v>290</v>
      </c>
      <c r="D53" s="14" t="s">
        <v>51</v>
      </c>
      <c r="E53" s="53">
        <v>325</v>
      </c>
      <c r="F53" s="16">
        <f t="shared" si="7"/>
        <v>94250</v>
      </c>
    </row>
    <row r="54" spans="1:6" ht="15" customHeight="1" x14ac:dyDescent="0.2">
      <c r="A54" s="178" t="s">
        <v>81</v>
      </c>
      <c r="B54" s="61" t="s">
        <v>82</v>
      </c>
      <c r="C54" s="15">
        <v>360</v>
      </c>
      <c r="D54" s="14" t="s">
        <v>51</v>
      </c>
      <c r="E54" s="53">
        <v>480</v>
      </c>
      <c r="F54" s="16">
        <f t="shared" si="7"/>
        <v>172800</v>
      </c>
    </row>
    <row r="55" spans="1:6" ht="15" customHeight="1" x14ac:dyDescent="0.2">
      <c r="A55" s="178" t="s">
        <v>83</v>
      </c>
      <c r="B55" s="61" t="s">
        <v>84</v>
      </c>
      <c r="C55" s="15">
        <v>360</v>
      </c>
      <c r="D55" s="14" t="s">
        <v>51</v>
      </c>
      <c r="E55" s="53">
        <v>600</v>
      </c>
      <c r="F55" s="16">
        <f t="shared" si="7"/>
        <v>216000</v>
      </c>
    </row>
    <row r="56" spans="1:6" ht="15" customHeight="1" x14ac:dyDescent="0.2">
      <c r="A56" s="178" t="s">
        <v>85</v>
      </c>
      <c r="B56" s="61" t="s">
        <v>86</v>
      </c>
      <c r="C56" s="15">
        <v>25</v>
      </c>
      <c r="D56" s="14" t="s">
        <v>51</v>
      </c>
      <c r="E56" s="53">
        <v>750</v>
      </c>
      <c r="F56" s="16">
        <f t="shared" si="7"/>
        <v>18750</v>
      </c>
    </row>
    <row r="57" spans="1:6" ht="15" customHeight="1" x14ac:dyDescent="0.25">
      <c r="A57" s="177">
        <v>4.5</v>
      </c>
      <c r="B57" s="62" t="s">
        <v>87</v>
      </c>
      <c r="C57" s="15"/>
      <c r="D57" s="14"/>
      <c r="E57" s="53"/>
      <c r="F57" s="16"/>
    </row>
    <row r="58" spans="1:6" ht="15" customHeight="1" x14ac:dyDescent="0.2">
      <c r="A58" s="178" t="s">
        <v>88</v>
      </c>
      <c r="B58" s="61" t="s">
        <v>89</v>
      </c>
      <c r="C58" s="15">
        <v>0</v>
      </c>
      <c r="D58" s="14" t="s">
        <v>14</v>
      </c>
      <c r="E58" s="53">
        <v>3800</v>
      </c>
      <c r="F58" s="16">
        <f t="shared" ref="F58" si="8">E58*C58</f>
        <v>0</v>
      </c>
    </row>
    <row r="59" spans="1:6" ht="15" customHeight="1" x14ac:dyDescent="0.2">
      <c r="A59" s="177">
        <v>4.5999999999999996</v>
      </c>
      <c r="B59" s="127" t="s">
        <v>90</v>
      </c>
      <c r="C59" s="15">
        <f>C33+C35</f>
        <v>3464</v>
      </c>
      <c r="D59" s="128" t="s">
        <v>51</v>
      </c>
      <c r="E59" s="53">
        <v>25</v>
      </c>
      <c r="F59" s="16">
        <f t="shared" si="7"/>
        <v>86600</v>
      </c>
    </row>
    <row r="60" spans="1:6" ht="15" customHeight="1" x14ac:dyDescent="0.2">
      <c r="A60" s="177">
        <v>4.7</v>
      </c>
      <c r="B60" s="127" t="s">
        <v>91</v>
      </c>
      <c r="C60" s="15">
        <v>4</v>
      </c>
      <c r="D60" s="128" t="s">
        <v>92</v>
      </c>
      <c r="E60" s="53">
        <v>400</v>
      </c>
      <c r="F60" s="16">
        <f t="shared" si="7"/>
        <v>1600</v>
      </c>
    </row>
    <row r="61" spans="1:6" ht="15" customHeight="1" x14ac:dyDescent="0.25">
      <c r="A61" s="165">
        <v>5</v>
      </c>
      <c r="B61" s="70" t="s">
        <v>93</v>
      </c>
      <c r="C61" s="71"/>
      <c r="D61" s="72"/>
      <c r="E61" s="73"/>
      <c r="F61" s="74">
        <f>SUM(F62:F63)</f>
        <v>0</v>
      </c>
    </row>
    <row r="62" spans="1:6" ht="15" customHeight="1" x14ac:dyDescent="0.2">
      <c r="A62" s="177">
        <v>5.0999999999999996</v>
      </c>
      <c r="B62" s="61" t="s">
        <v>94</v>
      </c>
      <c r="C62" s="167">
        <v>0</v>
      </c>
      <c r="D62" s="14" t="s">
        <v>14</v>
      </c>
      <c r="E62" s="53">
        <v>280000</v>
      </c>
      <c r="F62" s="16">
        <f t="shared" si="7"/>
        <v>0</v>
      </c>
    </row>
    <row r="63" spans="1:6" ht="15" customHeight="1" x14ac:dyDescent="0.2">
      <c r="A63" s="177">
        <v>5.2</v>
      </c>
      <c r="B63" s="61" t="s">
        <v>95</v>
      </c>
      <c r="C63" s="167">
        <v>0</v>
      </c>
      <c r="D63" s="14" t="s">
        <v>14</v>
      </c>
      <c r="E63" s="53"/>
      <c r="F63" s="16">
        <f t="shared" si="7"/>
        <v>0</v>
      </c>
    </row>
    <row r="64" spans="1:6" ht="15" customHeight="1" x14ac:dyDescent="0.25">
      <c r="A64" s="165">
        <v>6</v>
      </c>
      <c r="B64" s="70" t="s">
        <v>96</v>
      </c>
      <c r="C64" s="71"/>
      <c r="D64" s="72"/>
      <c r="E64" s="79"/>
      <c r="F64" s="74">
        <f>SUM(F65:F67)</f>
        <v>34997.5</v>
      </c>
    </row>
    <row r="65" spans="1:6" ht="15" customHeight="1" x14ac:dyDescent="0.2">
      <c r="A65" s="177">
        <v>6.1</v>
      </c>
      <c r="B65" s="61" t="s">
        <v>97</v>
      </c>
      <c r="C65" s="15">
        <v>92</v>
      </c>
      <c r="D65" s="14" t="s">
        <v>14</v>
      </c>
      <c r="E65" s="53">
        <v>50</v>
      </c>
      <c r="F65" s="16">
        <f t="shared" ref="F65:F71" si="9">E65*C65</f>
        <v>4600</v>
      </c>
    </row>
    <row r="66" spans="1:6" ht="15" customHeight="1" x14ac:dyDescent="0.2">
      <c r="A66" s="177">
        <v>6.2</v>
      </c>
      <c r="B66" s="61" t="s">
        <v>98</v>
      </c>
      <c r="C66" s="15">
        <v>75</v>
      </c>
      <c r="D66" s="14" t="s">
        <v>11</v>
      </c>
      <c r="E66" s="53">
        <v>60</v>
      </c>
      <c r="F66" s="16">
        <f t="shared" si="9"/>
        <v>4500</v>
      </c>
    </row>
    <row r="67" spans="1:6" ht="15" customHeight="1" x14ac:dyDescent="0.2">
      <c r="A67" s="177">
        <v>6.3</v>
      </c>
      <c r="B67" s="61" t="s">
        <v>99</v>
      </c>
      <c r="C67" s="15">
        <f>ROUNDUP(80*5.5+256*3.2+10+180*12.4+180*12.4+189.5*12.4+183.5*12.4,0)</f>
        <v>10359</v>
      </c>
      <c r="D67" s="14" t="s">
        <v>11</v>
      </c>
      <c r="E67" s="53">
        <v>2.5</v>
      </c>
      <c r="F67" s="16">
        <f t="shared" si="9"/>
        <v>25897.5</v>
      </c>
    </row>
    <row r="68" spans="1:6" ht="15" customHeight="1" x14ac:dyDescent="0.25">
      <c r="A68" s="165">
        <v>7</v>
      </c>
      <c r="B68" s="70" t="s">
        <v>100</v>
      </c>
      <c r="C68" s="71"/>
      <c r="D68" s="72"/>
      <c r="E68" s="73"/>
      <c r="F68" s="74">
        <f>SUM(F69:F72)</f>
        <v>158608</v>
      </c>
    </row>
    <row r="69" spans="1:6" ht="15" customHeight="1" x14ac:dyDescent="0.2">
      <c r="A69" s="177">
        <v>7.1</v>
      </c>
      <c r="B69" s="61" t="s">
        <v>101</v>
      </c>
      <c r="C69" s="15">
        <v>0</v>
      </c>
      <c r="D69" s="14" t="s">
        <v>14</v>
      </c>
      <c r="E69" s="53">
        <v>100000</v>
      </c>
      <c r="F69" s="16">
        <f t="shared" si="9"/>
        <v>0</v>
      </c>
    </row>
    <row r="70" spans="1:6" ht="15" customHeight="1" x14ac:dyDescent="0.2">
      <c r="A70" s="177">
        <v>7.2</v>
      </c>
      <c r="B70" s="61" t="s">
        <v>102</v>
      </c>
      <c r="C70" s="15">
        <v>0</v>
      </c>
      <c r="D70" s="14" t="s">
        <v>14</v>
      </c>
      <c r="E70" s="53">
        <v>80000</v>
      </c>
      <c r="F70" s="16">
        <f t="shared" si="9"/>
        <v>0</v>
      </c>
    </row>
    <row r="71" spans="1:6" ht="15" customHeight="1" x14ac:dyDescent="0.2">
      <c r="A71" s="177">
        <v>7.3</v>
      </c>
      <c r="B71" s="61" t="s">
        <v>103</v>
      </c>
      <c r="C71" s="15">
        <f>127+180+180+190+185</f>
        <v>862</v>
      </c>
      <c r="D71" s="14" t="s">
        <v>51</v>
      </c>
      <c r="E71" s="53">
        <v>160</v>
      </c>
      <c r="F71" s="16">
        <f t="shared" si="9"/>
        <v>137920</v>
      </c>
    </row>
    <row r="72" spans="1:6" ht="15" customHeight="1" x14ac:dyDescent="0.2">
      <c r="A72" s="177">
        <v>7.4</v>
      </c>
      <c r="B72" s="61" t="s">
        <v>104</v>
      </c>
      <c r="C72" s="15">
        <v>15</v>
      </c>
      <c r="D72" s="14" t="s">
        <v>105</v>
      </c>
      <c r="E72" s="53">
        <f>SUM(F69:F71)</f>
        <v>137920</v>
      </c>
      <c r="F72" s="16">
        <f>E72*C72/100</f>
        <v>20688</v>
      </c>
    </row>
    <row r="73" spans="1:6" ht="15" customHeight="1" x14ac:dyDescent="0.25">
      <c r="A73" s="165">
        <v>8</v>
      </c>
      <c r="B73" s="70" t="s">
        <v>106</v>
      </c>
      <c r="C73" s="71"/>
      <c r="D73" s="72"/>
      <c r="E73" s="73"/>
      <c r="F73" s="74">
        <f>SUM(F74:F79)</f>
        <v>85747.619300000006</v>
      </c>
    </row>
    <row r="74" spans="1:6" ht="15" customHeight="1" x14ac:dyDescent="0.2">
      <c r="A74" s="177">
        <v>8.1</v>
      </c>
      <c r="B74" s="61" t="s">
        <v>107</v>
      </c>
      <c r="C74" s="15">
        <v>1</v>
      </c>
      <c r="D74" s="14" t="s">
        <v>14</v>
      </c>
      <c r="E74" s="53">
        <v>10000</v>
      </c>
      <c r="F74" s="16">
        <f t="shared" ref="F74:F76" si="10">C74*E74</f>
        <v>10000</v>
      </c>
    </row>
    <row r="75" spans="1:6" ht="15" customHeight="1" x14ac:dyDescent="0.2">
      <c r="A75" s="177">
        <v>8.1999999999999993</v>
      </c>
      <c r="B75" s="61" t="s">
        <v>108</v>
      </c>
      <c r="C75" s="15">
        <v>21</v>
      </c>
      <c r="D75" s="14" t="s">
        <v>14</v>
      </c>
      <c r="E75" s="53">
        <v>280</v>
      </c>
      <c r="F75" s="16">
        <f t="shared" si="10"/>
        <v>5880</v>
      </c>
    </row>
    <row r="76" spans="1:6" ht="15" customHeight="1" x14ac:dyDescent="0.2">
      <c r="A76" s="177">
        <v>8.3000000000000007</v>
      </c>
      <c r="B76" s="61" t="s">
        <v>109</v>
      </c>
      <c r="C76" s="15">
        <v>1</v>
      </c>
      <c r="D76" s="14" t="s">
        <v>14</v>
      </c>
      <c r="E76" s="53">
        <f>0.015*(F46+F31+F12)</f>
        <v>48757.194300000003</v>
      </c>
      <c r="F76" s="16">
        <f t="shared" si="10"/>
        <v>48757.194300000003</v>
      </c>
    </row>
    <row r="77" spans="1:6" ht="15" customHeight="1" x14ac:dyDescent="0.2">
      <c r="A77" s="177">
        <v>8.4</v>
      </c>
      <c r="B77" s="61" t="s">
        <v>110</v>
      </c>
      <c r="C77" s="15">
        <v>1</v>
      </c>
      <c r="D77" s="14" t="s">
        <v>14</v>
      </c>
      <c r="E77" s="53">
        <f>0.15*F64</f>
        <v>5249.625</v>
      </c>
      <c r="F77" s="16">
        <f>C77*E77</f>
        <v>5249.625</v>
      </c>
    </row>
    <row r="78" spans="1:6" ht="15" customHeight="1" x14ac:dyDescent="0.2">
      <c r="A78" s="177">
        <v>8.5</v>
      </c>
      <c r="B78" s="61" t="s">
        <v>111</v>
      </c>
      <c r="C78" s="15">
        <v>10</v>
      </c>
      <c r="D78" s="14" t="s">
        <v>112</v>
      </c>
      <c r="E78" s="53">
        <f>F62*0.015</f>
        <v>0</v>
      </c>
      <c r="F78" s="16">
        <f>C78*E78</f>
        <v>0</v>
      </c>
    </row>
    <row r="79" spans="1:6" ht="15" customHeight="1" x14ac:dyDescent="0.2">
      <c r="A79" s="177">
        <v>8.6</v>
      </c>
      <c r="B79" s="61" t="s">
        <v>113</v>
      </c>
      <c r="C79" s="15">
        <v>1</v>
      </c>
      <c r="D79" s="14" t="s">
        <v>14</v>
      </c>
      <c r="E79" s="53">
        <f>0.1*F68</f>
        <v>15860.800000000001</v>
      </c>
      <c r="F79" s="16">
        <f>C79*E79</f>
        <v>15860.800000000001</v>
      </c>
    </row>
    <row r="80" spans="1:6" ht="15" customHeight="1" x14ac:dyDescent="0.25">
      <c r="A80" s="165">
        <v>9</v>
      </c>
      <c r="B80" s="70" t="s">
        <v>114</v>
      </c>
      <c r="C80" s="71"/>
      <c r="D80" s="72"/>
      <c r="E80" s="73"/>
      <c r="F80" s="74">
        <f>SUM(F81:F83)</f>
        <v>0</v>
      </c>
    </row>
    <row r="84" spans="1:6" ht="15" customHeight="1" x14ac:dyDescent="0.25">
      <c r="A84" s="92"/>
      <c r="B84" s="160" t="s">
        <v>115</v>
      </c>
      <c r="C84" s="75"/>
      <c r="D84" s="76"/>
      <c r="E84" s="83"/>
      <c r="F84" s="181">
        <f>SUM(F5,F12,F31,F46,F61,F64,F68,F73,F80)</f>
        <v>3697203.7267999998</v>
      </c>
    </row>
    <row r="85" spans="1:6" ht="15" customHeight="1" x14ac:dyDescent="0.25">
      <c r="A85" s="165">
        <v>10</v>
      </c>
      <c r="B85" s="70" t="s">
        <v>116</v>
      </c>
      <c r="C85" s="71"/>
      <c r="D85" s="72"/>
      <c r="E85" s="73"/>
      <c r="F85" s="74"/>
    </row>
    <row r="86" spans="1:6" ht="15" customHeight="1" x14ac:dyDescent="0.2">
      <c r="A86" s="177">
        <v>10.1</v>
      </c>
      <c r="B86" s="61" t="s">
        <v>117</v>
      </c>
      <c r="C86" s="166">
        <v>3.25</v>
      </c>
      <c r="D86" s="14" t="s">
        <v>105</v>
      </c>
      <c r="E86" s="175"/>
      <c r="F86" s="176">
        <f>C86%*F$84</f>
        <v>120159.121121</v>
      </c>
    </row>
    <row r="87" spans="1:6" ht="15" customHeight="1" x14ac:dyDescent="0.2">
      <c r="A87" s="177">
        <v>10.199999999999999</v>
      </c>
      <c r="B87" s="61" t="s">
        <v>118</v>
      </c>
      <c r="C87" s="166">
        <v>1</v>
      </c>
      <c r="D87" s="14" t="s">
        <v>105</v>
      </c>
      <c r="E87" s="175"/>
      <c r="F87" s="176">
        <f t="shared" ref="F87:F93" si="11">C87%*F$84</f>
        <v>36972.037268</v>
      </c>
    </row>
    <row r="88" spans="1:6" ht="15" customHeight="1" x14ac:dyDescent="0.2">
      <c r="A88" s="177">
        <v>10.3</v>
      </c>
      <c r="B88" s="61" t="s">
        <v>119</v>
      </c>
      <c r="C88" s="166">
        <v>5</v>
      </c>
      <c r="D88" s="14" t="s">
        <v>105</v>
      </c>
      <c r="E88" s="175"/>
      <c r="F88" s="176">
        <f t="shared" si="11"/>
        <v>184860.18634000001</v>
      </c>
    </row>
    <row r="89" spans="1:6" ht="15" customHeight="1" x14ac:dyDescent="0.2">
      <c r="A89" s="177">
        <v>10.4</v>
      </c>
      <c r="B89" s="61" t="s">
        <v>120</v>
      </c>
      <c r="C89" s="166">
        <v>0.5</v>
      </c>
      <c r="D89" s="14" t="s">
        <v>105</v>
      </c>
      <c r="E89" s="175"/>
      <c r="F89" s="176">
        <f t="shared" si="11"/>
        <v>18486.018634</v>
      </c>
    </row>
    <row r="90" spans="1:6" ht="15" customHeight="1" x14ac:dyDescent="0.2">
      <c r="A90" s="177">
        <v>10.5</v>
      </c>
      <c r="B90" s="61" t="s">
        <v>121</v>
      </c>
      <c r="C90" s="166">
        <v>5</v>
      </c>
      <c r="D90" s="14" t="s">
        <v>105</v>
      </c>
      <c r="E90" s="175"/>
      <c r="F90" s="176">
        <f t="shared" si="11"/>
        <v>184860.18634000001</v>
      </c>
    </row>
    <row r="91" spans="1:6" ht="15" customHeight="1" x14ac:dyDescent="0.2">
      <c r="A91" s="177">
        <v>10.6</v>
      </c>
      <c r="B91" s="61" t="s">
        <v>122</v>
      </c>
      <c r="C91" s="166">
        <v>9</v>
      </c>
      <c r="D91" s="14" t="s">
        <v>105</v>
      </c>
      <c r="E91" s="175"/>
      <c r="F91" s="176">
        <f t="shared" si="11"/>
        <v>332748.33541199996</v>
      </c>
    </row>
    <row r="92" spans="1:6" ht="15" customHeight="1" x14ac:dyDescent="0.2">
      <c r="A92" s="177">
        <v>10.7</v>
      </c>
      <c r="B92" s="61" t="s">
        <v>123</v>
      </c>
      <c r="C92" s="166">
        <v>2.5</v>
      </c>
      <c r="D92" s="14" t="s">
        <v>105</v>
      </c>
      <c r="E92" s="175"/>
      <c r="F92" s="176">
        <f t="shared" si="11"/>
        <v>92430.093170000007</v>
      </c>
    </row>
    <row r="93" spans="1:6" ht="15" customHeight="1" x14ac:dyDescent="0.2">
      <c r="A93" s="177">
        <v>10.8</v>
      </c>
      <c r="B93" s="61" t="s">
        <v>124</v>
      </c>
      <c r="C93" s="166">
        <v>15</v>
      </c>
      <c r="D93" s="14" t="s">
        <v>105</v>
      </c>
      <c r="E93" s="175"/>
      <c r="F93" s="176">
        <f t="shared" si="11"/>
        <v>554580.55901999993</v>
      </c>
    </row>
    <row r="94" spans="1:6" ht="15" customHeight="1" x14ac:dyDescent="0.25">
      <c r="A94" s="92"/>
      <c r="B94" s="160" t="s">
        <v>125</v>
      </c>
      <c r="C94" s="75"/>
      <c r="D94" s="76"/>
      <c r="E94" s="83"/>
      <c r="F94" s="181">
        <f>SUM(F84:F93)</f>
        <v>5222300.2641050005</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J94"/>
  <sheetViews>
    <sheetView workbookViewId="0">
      <selection activeCell="J6" sqref="J6"/>
    </sheetView>
  </sheetViews>
  <sheetFormatPr defaultColWidth="9.140625" defaultRowHeight="15" customHeight="1" x14ac:dyDescent="0.2"/>
  <cols>
    <col min="1" max="1" width="12.7109375" style="162" customWidth="1"/>
    <col min="2" max="2" width="50.7109375" style="162" customWidth="1"/>
    <col min="3" max="4" width="12.7109375" style="162" customWidth="1"/>
    <col min="5" max="6" width="15.7109375" style="162" customWidth="1"/>
    <col min="7" max="9" width="9.140625" style="162"/>
    <col min="10" max="10" width="11.42578125" style="162" bestFit="1" customWidth="1"/>
    <col min="11" max="16384" width="9.140625" style="162"/>
  </cols>
  <sheetData>
    <row r="1" spans="1:10" ht="15" customHeight="1" x14ac:dyDescent="0.25">
      <c r="A1" s="1" t="s">
        <v>0</v>
      </c>
      <c r="F1" s="161">
        <v>43544</v>
      </c>
    </row>
    <row r="2" spans="1:10" ht="15" customHeight="1" x14ac:dyDescent="0.25">
      <c r="A2" s="1" t="s">
        <v>133</v>
      </c>
    </row>
    <row r="4" spans="1:10" ht="30" x14ac:dyDescent="0.2">
      <c r="A4" s="182" t="s">
        <v>2</v>
      </c>
      <c r="B4" s="182" t="s">
        <v>3</v>
      </c>
      <c r="C4" s="182" t="s">
        <v>4</v>
      </c>
      <c r="D4" s="182" t="s">
        <v>5</v>
      </c>
      <c r="E4" s="183" t="s">
        <v>6</v>
      </c>
      <c r="F4" s="183" t="s">
        <v>7</v>
      </c>
    </row>
    <row r="5" spans="1:10" ht="15" customHeight="1" x14ac:dyDescent="0.25">
      <c r="A5" s="165">
        <v>1</v>
      </c>
      <c r="B5" s="70" t="s">
        <v>8</v>
      </c>
      <c r="C5" s="71"/>
      <c r="D5" s="72"/>
      <c r="E5" s="79"/>
      <c r="F5" s="74">
        <f>SUM(F6:F11)</f>
        <v>208549.92400000003</v>
      </c>
      <c r="I5" s="185" t="s">
        <v>134</v>
      </c>
      <c r="J5" s="185"/>
    </row>
    <row r="6" spans="1:10" ht="15" customHeight="1" x14ac:dyDescent="0.2">
      <c r="A6" s="177">
        <v>1.1000000000000001</v>
      </c>
      <c r="B6" s="127" t="s">
        <v>9</v>
      </c>
      <c r="C6" s="167">
        <f>C7</f>
        <v>4681.6000000000004</v>
      </c>
      <c r="D6" s="173" t="s">
        <v>11</v>
      </c>
      <c r="E6" s="174">
        <v>5</v>
      </c>
      <c r="F6" s="170">
        <f t="shared" ref="F6:F11" si="0">C6*E6</f>
        <v>23408</v>
      </c>
      <c r="I6" s="185"/>
      <c r="J6" s="186">
        <f>F94+'2601_2701_4'!F94</f>
        <v>6977041.1323549999</v>
      </c>
    </row>
    <row r="7" spans="1:10" ht="15" customHeight="1" x14ac:dyDescent="0.2">
      <c r="A7" s="177">
        <v>1.2</v>
      </c>
      <c r="B7" s="127" t="s">
        <v>12</v>
      </c>
      <c r="C7" s="167">
        <f>ROUNDUP(C33/2*5,0)+C43+C40+(C14+C20+C26)*0.2</f>
        <v>4681.6000000000004</v>
      </c>
      <c r="D7" s="173" t="s">
        <v>11</v>
      </c>
      <c r="E7" s="174">
        <v>7</v>
      </c>
      <c r="F7" s="170">
        <f t="shared" si="0"/>
        <v>32771.200000000004</v>
      </c>
      <c r="I7" s="185"/>
      <c r="J7" s="185"/>
    </row>
    <row r="8" spans="1:10" ht="15" customHeight="1" x14ac:dyDescent="0.2">
      <c r="A8" s="177">
        <v>1.3</v>
      </c>
      <c r="B8" s="127" t="s">
        <v>13</v>
      </c>
      <c r="C8" s="167">
        <v>1</v>
      </c>
      <c r="D8" s="173" t="s">
        <v>14</v>
      </c>
      <c r="E8" s="174">
        <v>7000</v>
      </c>
      <c r="F8" s="170">
        <f t="shared" si="0"/>
        <v>7000</v>
      </c>
    </row>
    <row r="9" spans="1:10" ht="15" customHeight="1" x14ac:dyDescent="0.2">
      <c r="A9" s="177">
        <v>1.4</v>
      </c>
      <c r="B9" s="127" t="s">
        <v>15</v>
      </c>
      <c r="C9" s="167">
        <v>1</v>
      </c>
      <c r="D9" s="173" t="s">
        <v>14</v>
      </c>
      <c r="E9" s="174">
        <v>5000</v>
      </c>
      <c r="F9" s="170">
        <f t="shared" si="0"/>
        <v>5000</v>
      </c>
    </row>
    <row r="10" spans="1:10" ht="15" customHeight="1" x14ac:dyDescent="0.2">
      <c r="A10" s="177">
        <v>1.5</v>
      </c>
      <c r="B10" s="127" t="s">
        <v>16</v>
      </c>
      <c r="C10" s="167">
        <f>(C16*0.4+C37*0.25+C43*0.175+C17*0.3)*0.6+800</f>
        <v>2373.4279999999999</v>
      </c>
      <c r="D10" s="173" t="s">
        <v>17</v>
      </c>
      <c r="E10" s="174">
        <v>45</v>
      </c>
      <c r="F10" s="170">
        <f t="shared" si="0"/>
        <v>106804.26</v>
      </c>
    </row>
    <row r="11" spans="1:10" ht="15" customHeight="1" x14ac:dyDescent="0.2">
      <c r="A11" s="177">
        <v>1.6</v>
      </c>
      <c r="B11" s="127" t="s">
        <v>18</v>
      </c>
      <c r="C11" s="167">
        <f>(C16*0.4+C37*0.25+C43*0.175+C17*0.3)*0.4</f>
        <v>1048.952</v>
      </c>
      <c r="D11" s="173" t="s">
        <v>17</v>
      </c>
      <c r="E11" s="174">
        <v>32</v>
      </c>
      <c r="F11" s="170">
        <f t="shared" si="0"/>
        <v>33566.464</v>
      </c>
    </row>
    <row r="12" spans="1:10" ht="15" customHeight="1" x14ac:dyDescent="0.25">
      <c r="A12" s="165">
        <v>2</v>
      </c>
      <c r="B12" s="70" t="s">
        <v>19</v>
      </c>
      <c r="C12" s="71"/>
      <c r="D12" s="72"/>
      <c r="E12" s="79"/>
      <c r="F12" s="74">
        <f>SUM(F14:F30)</f>
        <v>601266.4</v>
      </c>
    </row>
    <row r="13" spans="1:10" ht="15" customHeight="1" x14ac:dyDescent="0.25">
      <c r="A13" s="163">
        <v>2.1</v>
      </c>
      <c r="B13" s="62" t="s">
        <v>20</v>
      </c>
      <c r="C13" s="167"/>
      <c r="D13" s="168"/>
      <c r="E13" s="172"/>
      <c r="F13" s="170"/>
    </row>
    <row r="14" spans="1:10" ht="15" customHeight="1" x14ac:dyDescent="0.2">
      <c r="A14" s="164" t="s">
        <v>21</v>
      </c>
      <c r="B14" s="127" t="s">
        <v>22</v>
      </c>
      <c r="C14" s="167">
        <f>380*11.6</f>
        <v>4408</v>
      </c>
      <c r="D14" s="173" t="s">
        <v>11</v>
      </c>
      <c r="E14" s="174">
        <v>27</v>
      </c>
      <c r="F14" s="170">
        <f t="shared" ref="F14:F18" si="1">C14*E14</f>
        <v>119016</v>
      </c>
    </row>
    <row r="15" spans="1:10" ht="15" customHeight="1" x14ac:dyDescent="0.2">
      <c r="A15" s="164" t="s">
        <v>23</v>
      </c>
      <c r="B15" s="127" t="s">
        <v>24</v>
      </c>
      <c r="C15" s="167">
        <f>C14</f>
        <v>4408</v>
      </c>
      <c r="D15" s="173" t="s">
        <v>11</v>
      </c>
      <c r="E15" s="174">
        <f>ROUNDUP(32*100/75,0)</f>
        <v>43</v>
      </c>
      <c r="F15" s="170">
        <f t="shared" si="1"/>
        <v>189544</v>
      </c>
    </row>
    <row r="16" spans="1:10" ht="15" customHeight="1" x14ac:dyDescent="0.2">
      <c r="A16" s="164" t="s">
        <v>25</v>
      </c>
      <c r="B16" s="127" t="s">
        <v>26</v>
      </c>
      <c r="C16" s="167">
        <f>C15+(C35*0.45)+(C33*0.75)</f>
        <v>4978</v>
      </c>
      <c r="D16" s="173" t="s">
        <v>11</v>
      </c>
      <c r="E16" s="174">
        <f>ROUNDUP(18*260/110,0)</f>
        <v>43</v>
      </c>
      <c r="F16" s="170">
        <f t="shared" si="1"/>
        <v>214054</v>
      </c>
    </row>
    <row r="17" spans="1:6" ht="15" customHeight="1" x14ac:dyDescent="0.2">
      <c r="A17" s="164" t="s">
        <v>27</v>
      </c>
      <c r="B17" s="127" t="s">
        <v>28</v>
      </c>
      <c r="C17" s="167">
        <f>C16*0.2</f>
        <v>995.6</v>
      </c>
      <c r="D17" s="173" t="s">
        <v>11</v>
      </c>
      <c r="E17" s="174">
        <v>24</v>
      </c>
      <c r="F17" s="170">
        <f t="shared" si="1"/>
        <v>23894.400000000001</v>
      </c>
    </row>
    <row r="18" spans="1:6" ht="15" customHeight="1" x14ac:dyDescent="0.2">
      <c r="A18" s="164" t="s">
        <v>29</v>
      </c>
      <c r="B18" s="127" t="s">
        <v>30</v>
      </c>
      <c r="C18" s="167">
        <f>C16*0.1</f>
        <v>497.8</v>
      </c>
      <c r="D18" s="173" t="s">
        <v>11</v>
      </c>
      <c r="E18" s="174">
        <v>110</v>
      </c>
      <c r="F18" s="170">
        <f t="shared" si="1"/>
        <v>54758</v>
      </c>
    </row>
    <row r="19" spans="1:6" ht="15" customHeight="1" x14ac:dyDescent="0.25">
      <c r="A19" s="163">
        <v>2.2000000000000002</v>
      </c>
      <c r="B19" s="62" t="s">
        <v>31</v>
      </c>
      <c r="C19" s="167"/>
      <c r="D19" s="168"/>
      <c r="E19" s="172"/>
      <c r="F19" s="170"/>
    </row>
    <row r="20" spans="1:6" ht="15" customHeight="1" x14ac:dyDescent="0.2">
      <c r="A20" s="164" t="s">
        <v>32</v>
      </c>
      <c r="B20" s="127" t="s">
        <v>22</v>
      </c>
      <c r="C20" s="167">
        <v>0</v>
      </c>
      <c r="D20" s="173" t="s">
        <v>11</v>
      </c>
      <c r="E20" s="174">
        <v>27</v>
      </c>
      <c r="F20" s="170">
        <f t="shared" ref="F20:F24" si="2">C20*E20</f>
        <v>0</v>
      </c>
    </row>
    <row r="21" spans="1:6" ht="15" customHeight="1" x14ac:dyDescent="0.2">
      <c r="A21" s="164" t="s">
        <v>33</v>
      </c>
      <c r="B21" s="127" t="s">
        <v>34</v>
      </c>
      <c r="C21" s="167">
        <f>C20</f>
        <v>0</v>
      </c>
      <c r="D21" s="173" t="s">
        <v>11</v>
      </c>
      <c r="E21" s="174">
        <f>ROUNDUP(32*150/75,0)</f>
        <v>64</v>
      </c>
      <c r="F21" s="170">
        <f t="shared" si="2"/>
        <v>0</v>
      </c>
    </row>
    <row r="22" spans="1:6" ht="15" customHeight="1" x14ac:dyDescent="0.2">
      <c r="A22" s="164" t="s">
        <v>35</v>
      </c>
      <c r="B22" s="127" t="s">
        <v>36</v>
      </c>
      <c r="C22" s="167">
        <v>0</v>
      </c>
      <c r="D22" s="173" t="s">
        <v>11</v>
      </c>
      <c r="E22" s="174">
        <f>ROUNDUP(18*300/110,0)</f>
        <v>50</v>
      </c>
      <c r="F22" s="170">
        <f t="shared" si="2"/>
        <v>0</v>
      </c>
    </row>
    <row r="23" spans="1:6" ht="15" customHeight="1" x14ac:dyDescent="0.2">
      <c r="A23" s="164" t="s">
        <v>37</v>
      </c>
      <c r="B23" s="127" t="s">
        <v>28</v>
      </c>
      <c r="C23" s="167">
        <f>C22*0.2</f>
        <v>0</v>
      </c>
      <c r="D23" s="173" t="s">
        <v>11</v>
      </c>
      <c r="E23" s="174">
        <v>24</v>
      </c>
      <c r="F23" s="170">
        <f t="shared" si="2"/>
        <v>0</v>
      </c>
    </row>
    <row r="24" spans="1:6" ht="15" customHeight="1" x14ac:dyDescent="0.2">
      <c r="A24" s="164" t="s">
        <v>38</v>
      </c>
      <c r="B24" s="127" t="s">
        <v>30</v>
      </c>
      <c r="C24" s="167">
        <f>C22*0.1</f>
        <v>0</v>
      </c>
      <c r="D24" s="173" t="s">
        <v>11</v>
      </c>
      <c r="E24" s="174">
        <v>110</v>
      </c>
      <c r="F24" s="170">
        <f t="shared" si="2"/>
        <v>0</v>
      </c>
    </row>
    <row r="25" spans="1:6" ht="15" customHeight="1" x14ac:dyDescent="0.25">
      <c r="A25" s="163">
        <v>2.2999999999999998</v>
      </c>
      <c r="B25" s="62" t="s">
        <v>39</v>
      </c>
      <c r="C25" s="179"/>
      <c r="D25" s="179"/>
      <c r="E25" s="179"/>
      <c r="F25" s="180"/>
    </row>
    <row r="26" spans="1:6" ht="15" customHeight="1" x14ac:dyDescent="0.2">
      <c r="A26" s="164" t="s">
        <v>40</v>
      </c>
      <c r="B26" s="127" t="s">
        <v>41</v>
      </c>
      <c r="C26" s="167">
        <v>0</v>
      </c>
      <c r="D26" s="173" t="s">
        <v>11</v>
      </c>
      <c r="E26" s="174">
        <f>ROUNDUP(E14*0.85,0)</f>
        <v>23</v>
      </c>
      <c r="F26" s="170">
        <f t="shared" ref="F26:F30" si="3">C26*E26</f>
        <v>0</v>
      </c>
    </row>
    <row r="27" spans="1:6" ht="15" customHeight="1" x14ac:dyDescent="0.2">
      <c r="A27" s="164" t="s">
        <v>42</v>
      </c>
      <c r="B27" s="127" t="s">
        <v>24</v>
      </c>
      <c r="C27" s="167">
        <f>C26</f>
        <v>0</v>
      </c>
      <c r="D27" s="173" t="s">
        <v>11</v>
      </c>
      <c r="E27" s="174">
        <f>E15</f>
        <v>43</v>
      </c>
      <c r="F27" s="170">
        <f t="shared" si="3"/>
        <v>0</v>
      </c>
    </row>
    <row r="28" spans="1:6" ht="15" customHeight="1" x14ac:dyDescent="0.2">
      <c r="A28" s="164" t="s">
        <v>43</v>
      </c>
      <c r="B28" s="127" t="s">
        <v>44</v>
      </c>
      <c r="C28" s="167">
        <v>0</v>
      </c>
      <c r="D28" s="173" t="s">
        <v>11</v>
      </c>
      <c r="E28" s="174">
        <f>E16</f>
        <v>43</v>
      </c>
      <c r="F28" s="170">
        <f t="shared" si="3"/>
        <v>0</v>
      </c>
    </row>
    <row r="29" spans="1:6" ht="15" customHeight="1" x14ac:dyDescent="0.2">
      <c r="A29" s="164" t="s">
        <v>45</v>
      </c>
      <c r="B29" s="127" t="s">
        <v>28</v>
      </c>
      <c r="C29" s="167">
        <f>C28*0.2</f>
        <v>0</v>
      </c>
      <c r="D29" s="173" t="s">
        <v>11</v>
      </c>
      <c r="E29" s="174">
        <f>E17</f>
        <v>24</v>
      </c>
      <c r="F29" s="170">
        <f t="shared" si="3"/>
        <v>0</v>
      </c>
    </row>
    <row r="30" spans="1:6" ht="15" customHeight="1" x14ac:dyDescent="0.2">
      <c r="A30" s="164" t="s">
        <v>46</v>
      </c>
      <c r="B30" s="127" t="s">
        <v>30</v>
      </c>
      <c r="C30" s="167">
        <f>C28*0.1</f>
        <v>0</v>
      </c>
      <c r="D30" s="173" t="s">
        <v>11</v>
      </c>
      <c r="E30" s="174">
        <f>E18</f>
        <v>110</v>
      </c>
      <c r="F30" s="170">
        <f t="shared" si="3"/>
        <v>0</v>
      </c>
    </row>
    <row r="31" spans="1:6" x14ac:dyDescent="0.25">
      <c r="A31" s="165">
        <v>3</v>
      </c>
      <c r="B31" s="70" t="s">
        <v>47</v>
      </c>
      <c r="C31" s="71"/>
      <c r="D31" s="72"/>
      <c r="E31" s="79"/>
      <c r="F31" s="74">
        <f>SUM(F33:F45)</f>
        <v>213940</v>
      </c>
    </row>
    <row r="32" spans="1:6" ht="15" customHeight="1" x14ac:dyDescent="0.25">
      <c r="A32" s="177">
        <v>3.1</v>
      </c>
      <c r="B32" s="62" t="s">
        <v>48</v>
      </c>
      <c r="C32" s="15"/>
      <c r="D32" s="14"/>
      <c r="E32" s="53"/>
      <c r="F32" s="16"/>
    </row>
    <row r="33" spans="1:6" ht="15" customHeight="1" x14ac:dyDescent="0.2">
      <c r="A33" s="178" t="s">
        <v>49</v>
      </c>
      <c r="B33" s="61" t="s">
        <v>50</v>
      </c>
      <c r="C33" s="167">
        <v>760</v>
      </c>
      <c r="D33" s="168" t="s">
        <v>51</v>
      </c>
      <c r="E33" s="169">
        <v>64</v>
      </c>
      <c r="F33" s="170">
        <f t="shared" ref="F33:F35" si="4">SUM(E33*C33)</f>
        <v>48640</v>
      </c>
    </row>
    <row r="34" spans="1:6" ht="15" customHeight="1" x14ac:dyDescent="0.2">
      <c r="A34" s="178" t="s">
        <v>52</v>
      </c>
      <c r="B34" s="61" t="s">
        <v>53</v>
      </c>
      <c r="C34" s="167">
        <v>0</v>
      </c>
      <c r="D34" s="168" t="s">
        <v>51</v>
      </c>
      <c r="E34" s="169">
        <v>61</v>
      </c>
      <c r="F34" s="170">
        <f t="shared" si="4"/>
        <v>0</v>
      </c>
    </row>
    <row r="35" spans="1:6" ht="15" customHeight="1" x14ac:dyDescent="0.2">
      <c r="A35" s="178" t="s">
        <v>54</v>
      </c>
      <c r="B35" s="61" t="s">
        <v>55</v>
      </c>
      <c r="C35" s="167">
        <v>0</v>
      </c>
      <c r="D35" s="168" t="s">
        <v>51</v>
      </c>
      <c r="E35" s="169">
        <v>52</v>
      </c>
      <c r="F35" s="170">
        <f t="shared" si="4"/>
        <v>0</v>
      </c>
    </row>
    <row r="36" spans="1:6" x14ac:dyDescent="0.25">
      <c r="A36" s="177">
        <v>3.2</v>
      </c>
      <c r="B36" s="62" t="s">
        <v>56</v>
      </c>
      <c r="C36" s="171"/>
      <c r="D36" s="171"/>
      <c r="E36" s="171"/>
      <c r="F36" s="171"/>
    </row>
    <row r="37" spans="1:6" ht="14.25" x14ac:dyDescent="0.2">
      <c r="A37" s="178" t="s">
        <v>57</v>
      </c>
      <c r="B37" s="61" t="s">
        <v>58</v>
      </c>
      <c r="C37" s="167">
        <v>0</v>
      </c>
      <c r="D37" s="168" t="s">
        <v>11</v>
      </c>
      <c r="E37" s="169">
        <v>70</v>
      </c>
      <c r="F37" s="170">
        <f>SUM(E37*C37)</f>
        <v>0</v>
      </c>
    </row>
    <row r="38" spans="1:6" ht="15" customHeight="1" x14ac:dyDescent="0.2">
      <c r="A38" s="178" t="s">
        <v>59</v>
      </c>
      <c r="B38" s="61" t="s">
        <v>60</v>
      </c>
      <c r="C38" s="167">
        <f>C37</f>
        <v>0</v>
      </c>
      <c r="D38" s="168" t="s">
        <v>11</v>
      </c>
      <c r="E38" s="169">
        <v>35</v>
      </c>
      <c r="F38" s="170">
        <f>SUM(E38*C38)</f>
        <v>0</v>
      </c>
    </row>
    <row r="39" spans="1:6" ht="15" customHeight="1" x14ac:dyDescent="0.25">
      <c r="A39" s="177">
        <v>3.3</v>
      </c>
      <c r="B39" s="62" t="s">
        <v>61</v>
      </c>
      <c r="E39" s="169"/>
      <c r="F39" s="170"/>
    </row>
    <row r="40" spans="1:6" ht="15" customHeight="1" x14ac:dyDescent="0.2">
      <c r="A40" s="178" t="s">
        <v>62</v>
      </c>
      <c r="B40" s="61" t="s">
        <v>63</v>
      </c>
      <c r="C40" s="167">
        <v>0</v>
      </c>
      <c r="D40" s="168" t="s">
        <v>11</v>
      </c>
      <c r="E40" s="169">
        <f>ROUNDUP(E37*125/150,0)</f>
        <v>59</v>
      </c>
      <c r="F40" s="170">
        <f t="shared" ref="F40:F41" si="5">SUM(E40*C40)</f>
        <v>0</v>
      </c>
    </row>
    <row r="41" spans="1:6" ht="15" customHeight="1" x14ac:dyDescent="0.2">
      <c r="A41" s="178" t="s">
        <v>64</v>
      </c>
      <c r="B41" s="61" t="s">
        <v>65</v>
      </c>
      <c r="C41" s="167">
        <f>C40</f>
        <v>0</v>
      </c>
      <c r="D41" s="168" t="s">
        <v>11</v>
      </c>
      <c r="E41" s="169">
        <f>ROUNDUP(E38*0.8,0)</f>
        <v>28</v>
      </c>
      <c r="F41" s="170">
        <f t="shared" si="5"/>
        <v>0</v>
      </c>
    </row>
    <row r="42" spans="1:6" ht="15" customHeight="1" x14ac:dyDescent="0.25">
      <c r="A42" s="177">
        <v>3.4</v>
      </c>
      <c r="B42" s="62" t="s">
        <v>66</v>
      </c>
      <c r="E42" s="169"/>
      <c r="F42" s="170"/>
    </row>
    <row r="43" spans="1:6" ht="15" customHeight="1" x14ac:dyDescent="0.2">
      <c r="A43" s="178" t="s">
        <v>67</v>
      </c>
      <c r="B43" s="61" t="s">
        <v>63</v>
      </c>
      <c r="C43" s="167">
        <f>(4*190)*2.5</f>
        <v>1900</v>
      </c>
      <c r="D43" s="168" t="s">
        <v>11</v>
      </c>
      <c r="E43" s="169">
        <f>E40</f>
        <v>59</v>
      </c>
      <c r="F43" s="170">
        <f t="shared" ref="F43:F45" si="6">SUM(E43*C43)</f>
        <v>112100</v>
      </c>
    </row>
    <row r="44" spans="1:6" ht="14.25" x14ac:dyDescent="0.2">
      <c r="A44" s="178" t="s">
        <v>68</v>
      </c>
      <c r="B44" s="61" t="s">
        <v>65</v>
      </c>
      <c r="C44" s="167">
        <f>C43</f>
        <v>1900</v>
      </c>
      <c r="D44" s="168" t="s">
        <v>11</v>
      </c>
      <c r="E44" s="169">
        <f>ROUNDUP(E38*0.8,0)</f>
        <v>28</v>
      </c>
      <c r="F44" s="170">
        <f t="shared" si="6"/>
        <v>53200</v>
      </c>
    </row>
    <row r="45" spans="1:6" ht="15" customHeight="1" x14ac:dyDescent="0.2">
      <c r="A45" s="177">
        <v>3.5</v>
      </c>
      <c r="B45" s="61" t="s">
        <v>69</v>
      </c>
      <c r="C45" s="167">
        <v>0</v>
      </c>
      <c r="D45" s="168" t="s">
        <v>14</v>
      </c>
      <c r="E45" s="169">
        <v>650</v>
      </c>
      <c r="F45" s="170">
        <f t="shared" si="6"/>
        <v>0</v>
      </c>
    </row>
    <row r="46" spans="1:6" ht="15" customHeight="1" x14ac:dyDescent="0.25">
      <c r="A46" s="165">
        <v>4</v>
      </c>
      <c r="B46" s="70" t="s">
        <v>70</v>
      </c>
      <c r="C46" s="71"/>
      <c r="D46" s="72"/>
      <c r="E46" s="79"/>
      <c r="F46" s="74">
        <f>SUM(F47:F60)</f>
        <v>113400</v>
      </c>
    </row>
    <row r="47" spans="1:6" ht="15" customHeight="1" x14ac:dyDescent="0.2">
      <c r="A47" s="177">
        <v>4.0999999999999996</v>
      </c>
      <c r="B47" s="61" t="s">
        <v>71</v>
      </c>
      <c r="C47" s="15">
        <v>2</v>
      </c>
      <c r="D47" s="14" t="s">
        <v>14</v>
      </c>
      <c r="E47" s="53">
        <v>4900</v>
      </c>
      <c r="F47" s="16">
        <f t="shared" ref="F47:F63" si="7">E47*C47</f>
        <v>9800</v>
      </c>
    </row>
    <row r="48" spans="1:6" ht="15" customHeight="1" x14ac:dyDescent="0.2">
      <c r="A48" s="177">
        <v>4.2</v>
      </c>
      <c r="B48" s="61" t="s">
        <v>72</v>
      </c>
      <c r="C48" s="15">
        <v>0</v>
      </c>
      <c r="D48" s="14" t="s">
        <v>14</v>
      </c>
      <c r="E48" s="53">
        <v>1650</v>
      </c>
      <c r="F48" s="16">
        <f t="shared" si="7"/>
        <v>0</v>
      </c>
    </row>
    <row r="49" spans="1:6" ht="15" customHeight="1" x14ac:dyDescent="0.25">
      <c r="A49" s="177">
        <v>4.3</v>
      </c>
      <c r="B49" s="62" t="s">
        <v>73</v>
      </c>
      <c r="C49" s="15"/>
      <c r="D49" s="14"/>
      <c r="E49" s="53"/>
      <c r="F49" s="16"/>
    </row>
    <row r="50" spans="1:6" ht="15" customHeight="1" x14ac:dyDescent="0.2">
      <c r="A50" s="178" t="s">
        <v>74</v>
      </c>
      <c r="B50" s="61" t="s">
        <v>75</v>
      </c>
      <c r="C50" s="15">
        <v>0</v>
      </c>
      <c r="D50" s="14" t="s">
        <v>14</v>
      </c>
      <c r="E50" s="53">
        <v>4200</v>
      </c>
      <c r="F50" s="16">
        <f t="shared" si="7"/>
        <v>0</v>
      </c>
    </row>
    <row r="51" spans="1:6" ht="15" customHeight="1" x14ac:dyDescent="0.2">
      <c r="A51" s="178" t="s">
        <v>76</v>
      </c>
      <c r="B51" s="61" t="s">
        <v>77</v>
      </c>
      <c r="C51" s="15">
        <v>3</v>
      </c>
      <c r="D51" s="14" t="s">
        <v>14</v>
      </c>
      <c r="E51" s="53">
        <v>5300</v>
      </c>
      <c r="F51" s="16">
        <f t="shared" si="7"/>
        <v>15900</v>
      </c>
    </row>
    <row r="52" spans="1:6" ht="15" customHeight="1" x14ac:dyDescent="0.25">
      <c r="A52" s="177">
        <v>4.4000000000000004</v>
      </c>
      <c r="B52" s="62" t="s">
        <v>78</v>
      </c>
      <c r="C52" s="15"/>
      <c r="D52" s="14"/>
      <c r="E52" s="53"/>
      <c r="F52" s="16"/>
    </row>
    <row r="53" spans="1:6" ht="15" customHeight="1" x14ac:dyDescent="0.2">
      <c r="A53" s="178" t="s">
        <v>79</v>
      </c>
      <c r="B53" s="61" t="s">
        <v>80</v>
      </c>
      <c r="C53" s="15">
        <v>16</v>
      </c>
      <c r="D53" s="14" t="s">
        <v>51</v>
      </c>
      <c r="E53" s="53">
        <v>325</v>
      </c>
      <c r="F53" s="16">
        <f t="shared" si="7"/>
        <v>5200</v>
      </c>
    </row>
    <row r="54" spans="1:6" ht="15" customHeight="1" x14ac:dyDescent="0.2">
      <c r="A54" s="178" t="s">
        <v>81</v>
      </c>
      <c r="B54" s="61" t="s">
        <v>82</v>
      </c>
      <c r="C54" s="15">
        <v>0</v>
      </c>
      <c r="D54" s="14" t="s">
        <v>51</v>
      </c>
      <c r="E54" s="53">
        <v>480</v>
      </c>
      <c r="F54" s="16">
        <f t="shared" si="7"/>
        <v>0</v>
      </c>
    </row>
    <row r="55" spans="1:6" ht="15" customHeight="1" x14ac:dyDescent="0.2">
      <c r="A55" s="178" t="s">
        <v>83</v>
      </c>
      <c r="B55" s="61" t="s">
        <v>84</v>
      </c>
      <c r="C55" s="15">
        <v>0</v>
      </c>
      <c r="D55" s="14" t="s">
        <v>51</v>
      </c>
      <c r="E55" s="53">
        <v>600</v>
      </c>
      <c r="F55" s="16">
        <f t="shared" si="7"/>
        <v>0</v>
      </c>
    </row>
    <row r="56" spans="1:6" ht="15" customHeight="1" x14ac:dyDescent="0.2">
      <c r="A56" s="178" t="s">
        <v>85</v>
      </c>
      <c r="B56" s="61" t="s">
        <v>86</v>
      </c>
      <c r="C56" s="15">
        <f>35+12+36.6</f>
        <v>83.6</v>
      </c>
      <c r="D56" s="14" t="s">
        <v>51</v>
      </c>
      <c r="E56" s="53">
        <v>750</v>
      </c>
      <c r="F56" s="16">
        <f t="shared" si="7"/>
        <v>62699.999999999993</v>
      </c>
    </row>
    <row r="57" spans="1:6" ht="15" customHeight="1" x14ac:dyDescent="0.25">
      <c r="A57" s="177">
        <v>4.5</v>
      </c>
      <c r="B57" s="62" t="s">
        <v>87</v>
      </c>
      <c r="C57" s="15"/>
      <c r="D57" s="14"/>
      <c r="E57" s="53"/>
      <c r="F57" s="16"/>
    </row>
    <row r="58" spans="1:6" ht="15" customHeight="1" x14ac:dyDescent="0.2">
      <c r="A58" s="178" t="s">
        <v>88</v>
      </c>
      <c r="B58" s="61" t="s">
        <v>89</v>
      </c>
      <c r="C58" s="15">
        <v>0</v>
      </c>
      <c r="D58" s="14" t="s">
        <v>14</v>
      </c>
      <c r="E58" s="53">
        <v>3800</v>
      </c>
      <c r="F58" s="16">
        <f t="shared" ref="F58" si="8">E58*C58</f>
        <v>0</v>
      </c>
    </row>
    <row r="59" spans="1:6" ht="15" customHeight="1" x14ac:dyDescent="0.2">
      <c r="A59" s="177">
        <v>4.5999999999999996</v>
      </c>
      <c r="B59" s="127" t="s">
        <v>90</v>
      </c>
      <c r="C59" s="15">
        <f>C33+C35</f>
        <v>760</v>
      </c>
      <c r="D59" s="128" t="s">
        <v>51</v>
      </c>
      <c r="E59" s="53">
        <v>25</v>
      </c>
      <c r="F59" s="16">
        <f t="shared" si="7"/>
        <v>19000</v>
      </c>
    </row>
    <row r="60" spans="1:6" ht="15" customHeight="1" x14ac:dyDescent="0.2">
      <c r="A60" s="177">
        <v>4.7</v>
      </c>
      <c r="B60" s="127" t="s">
        <v>91</v>
      </c>
      <c r="C60" s="15">
        <v>2</v>
      </c>
      <c r="D60" s="128" t="s">
        <v>92</v>
      </c>
      <c r="E60" s="53">
        <v>400</v>
      </c>
      <c r="F60" s="16">
        <f t="shared" si="7"/>
        <v>800</v>
      </c>
    </row>
    <row r="61" spans="1:6" ht="15" customHeight="1" x14ac:dyDescent="0.25">
      <c r="A61" s="165">
        <v>5</v>
      </c>
      <c r="B61" s="70" t="s">
        <v>93</v>
      </c>
      <c r="C61" s="71"/>
      <c r="D61" s="72"/>
      <c r="E61" s="73"/>
      <c r="F61" s="74">
        <f>SUM(F62:F63)</f>
        <v>0</v>
      </c>
    </row>
    <row r="62" spans="1:6" ht="15" customHeight="1" x14ac:dyDescent="0.2">
      <c r="A62" s="177">
        <v>5.0999999999999996</v>
      </c>
      <c r="B62" s="61" t="s">
        <v>94</v>
      </c>
      <c r="C62" s="167">
        <v>0</v>
      </c>
      <c r="D62" s="14" t="s">
        <v>14</v>
      </c>
      <c r="E62" s="53">
        <v>280000</v>
      </c>
      <c r="F62" s="16">
        <f t="shared" si="7"/>
        <v>0</v>
      </c>
    </row>
    <row r="63" spans="1:6" ht="15" customHeight="1" x14ac:dyDescent="0.2">
      <c r="A63" s="177">
        <v>5.2</v>
      </c>
      <c r="B63" s="61" t="s">
        <v>95</v>
      </c>
      <c r="C63" s="167">
        <v>0</v>
      </c>
      <c r="D63" s="14" t="s">
        <v>14</v>
      </c>
      <c r="E63" s="53"/>
      <c r="F63" s="16">
        <f t="shared" si="7"/>
        <v>0</v>
      </c>
    </row>
    <row r="64" spans="1:6" ht="15" customHeight="1" x14ac:dyDescent="0.25">
      <c r="A64" s="165">
        <v>6</v>
      </c>
      <c r="B64" s="70" t="s">
        <v>96</v>
      </c>
      <c r="C64" s="71"/>
      <c r="D64" s="72"/>
      <c r="E64" s="79"/>
      <c r="F64" s="74">
        <f>SUM(F65:F67)</f>
        <v>7980</v>
      </c>
    </row>
    <row r="65" spans="1:6" ht="15" customHeight="1" x14ac:dyDescent="0.2">
      <c r="A65" s="177">
        <v>6.1</v>
      </c>
      <c r="B65" s="61" t="s">
        <v>97</v>
      </c>
      <c r="C65" s="15">
        <v>38</v>
      </c>
      <c r="D65" s="14" t="s">
        <v>14</v>
      </c>
      <c r="E65" s="53">
        <v>50</v>
      </c>
      <c r="F65" s="16">
        <f t="shared" ref="F65:F71" si="9">E65*C65</f>
        <v>1900</v>
      </c>
    </row>
    <row r="66" spans="1:6" ht="15" customHeight="1" x14ac:dyDescent="0.2">
      <c r="A66" s="177">
        <v>6.2</v>
      </c>
      <c r="B66" s="61" t="s">
        <v>98</v>
      </c>
      <c r="C66" s="15">
        <v>0</v>
      </c>
      <c r="D66" s="14" t="s">
        <v>11</v>
      </c>
      <c r="E66" s="53">
        <v>60</v>
      </c>
      <c r="F66" s="16">
        <f t="shared" si="9"/>
        <v>0</v>
      </c>
    </row>
    <row r="67" spans="1:6" ht="15" customHeight="1" x14ac:dyDescent="0.2">
      <c r="A67" s="177">
        <v>6.3</v>
      </c>
      <c r="B67" s="61" t="s">
        <v>99</v>
      </c>
      <c r="C67" s="15">
        <f>380*6.4</f>
        <v>2432</v>
      </c>
      <c r="D67" s="14" t="s">
        <v>11</v>
      </c>
      <c r="E67" s="53">
        <v>2.5</v>
      </c>
      <c r="F67" s="16">
        <f t="shared" si="9"/>
        <v>6080</v>
      </c>
    </row>
    <row r="68" spans="1:6" ht="15" customHeight="1" x14ac:dyDescent="0.25">
      <c r="A68" s="165">
        <v>7</v>
      </c>
      <c r="B68" s="70" t="s">
        <v>100</v>
      </c>
      <c r="C68" s="71"/>
      <c r="D68" s="72"/>
      <c r="E68" s="73"/>
      <c r="F68" s="74">
        <f>SUM(F69:F72)</f>
        <v>69920</v>
      </c>
    </row>
    <row r="69" spans="1:6" ht="15" customHeight="1" x14ac:dyDescent="0.2">
      <c r="A69" s="177">
        <v>7.1</v>
      </c>
      <c r="B69" s="61" t="s">
        <v>101</v>
      </c>
      <c r="C69" s="15">
        <v>0</v>
      </c>
      <c r="D69" s="14" t="s">
        <v>14</v>
      </c>
      <c r="E69" s="53">
        <v>100000</v>
      </c>
      <c r="F69" s="16">
        <f t="shared" si="9"/>
        <v>0</v>
      </c>
    </row>
    <row r="70" spans="1:6" ht="15" customHeight="1" x14ac:dyDescent="0.2">
      <c r="A70" s="177">
        <v>7.2</v>
      </c>
      <c r="B70" s="61" t="s">
        <v>102</v>
      </c>
      <c r="C70" s="15">
        <v>0</v>
      </c>
      <c r="D70" s="14" t="s">
        <v>14</v>
      </c>
      <c r="E70" s="53">
        <v>80000</v>
      </c>
      <c r="F70" s="16">
        <f t="shared" si="9"/>
        <v>0</v>
      </c>
    </row>
    <row r="71" spans="1:6" ht="15" customHeight="1" x14ac:dyDescent="0.2">
      <c r="A71" s="177">
        <v>7.3</v>
      </c>
      <c r="B71" s="61" t="s">
        <v>103</v>
      </c>
      <c r="C71" s="15">
        <v>380</v>
      </c>
      <c r="D71" s="14" t="s">
        <v>51</v>
      </c>
      <c r="E71" s="53">
        <v>160</v>
      </c>
      <c r="F71" s="16">
        <f t="shared" si="9"/>
        <v>60800</v>
      </c>
    </row>
    <row r="72" spans="1:6" ht="15" customHeight="1" x14ac:dyDescent="0.2">
      <c r="A72" s="177">
        <v>7.4</v>
      </c>
      <c r="B72" s="61" t="s">
        <v>104</v>
      </c>
      <c r="C72" s="15">
        <v>15</v>
      </c>
      <c r="D72" s="14" t="s">
        <v>105</v>
      </c>
      <c r="E72" s="53">
        <f>SUM(F69:F71)</f>
        <v>60800</v>
      </c>
      <c r="F72" s="16">
        <f>E72*C72/100</f>
        <v>9120</v>
      </c>
    </row>
    <row r="73" spans="1:6" ht="15" customHeight="1" x14ac:dyDescent="0.25">
      <c r="A73" s="165">
        <v>8</v>
      </c>
      <c r="B73" s="70" t="s">
        <v>106</v>
      </c>
      <c r="C73" s="71"/>
      <c r="D73" s="72"/>
      <c r="E73" s="73"/>
      <c r="F73" s="74">
        <f>SUM(F74:F79)</f>
        <v>27238.095999999998</v>
      </c>
    </row>
    <row r="74" spans="1:6" ht="15" customHeight="1" x14ac:dyDescent="0.2">
      <c r="A74" s="177">
        <v>8.1</v>
      </c>
      <c r="B74" s="61" t="s">
        <v>107</v>
      </c>
      <c r="C74" s="15">
        <v>1</v>
      </c>
      <c r="D74" s="14" t="s">
        <v>14</v>
      </c>
      <c r="E74" s="53">
        <v>4000</v>
      </c>
      <c r="F74" s="16">
        <f t="shared" ref="F74:F76" si="10">C74*E74</f>
        <v>4000</v>
      </c>
    </row>
    <row r="75" spans="1:6" ht="15" customHeight="1" x14ac:dyDescent="0.2">
      <c r="A75" s="177">
        <v>8.1999999999999993</v>
      </c>
      <c r="B75" s="61" t="s">
        <v>108</v>
      </c>
      <c r="C75" s="15">
        <v>4</v>
      </c>
      <c r="D75" s="14" t="s">
        <v>14</v>
      </c>
      <c r="E75" s="53">
        <v>280</v>
      </c>
      <c r="F75" s="16">
        <f t="shared" si="10"/>
        <v>1120</v>
      </c>
    </row>
    <row r="76" spans="1:6" ht="15" customHeight="1" x14ac:dyDescent="0.2">
      <c r="A76" s="177">
        <v>8.3000000000000007</v>
      </c>
      <c r="B76" s="61" t="s">
        <v>109</v>
      </c>
      <c r="C76" s="15">
        <v>1</v>
      </c>
      <c r="D76" s="14" t="s">
        <v>14</v>
      </c>
      <c r="E76" s="53">
        <f>0.015*(F46+F31+F12)</f>
        <v>13929.096</v>
      </c>
      <c r="F76" s="16">
        <f t="shared" si="10"/>
        <v>13929.096</v>
      </c>
    </row>
    <row r="77" spans="1:6" ht="15" customHeight="1" x14ac:dyDescent="0.2">
      <c r="A77" s="177">
        <v>8.4</v>
      </c>
      <c r="B77" s="61" t="s">
        <v>110</v>
      </c>
      <c r="C77" s="15">
        <v>1</v>
      </c>
      <c r="D77" s="14" t="s">
        <v>14</v>
      </c>
      <c r="E77" s="53">
        <f>0.15*F64</f>
        <v>1197</v>
      </c>
      <c r="F77" s="16">
        <f>C77*E77</f>
        <v>1197</v>
      </c>
    </row>
    <row r="78" spans="1:6" ht="15" customHeight="1" x14ac:dyDescent="0.2">
      <c r="A78" s="177">
        <v>8.5</v>
      </c>
      <c r="B78" s="61" t="s">
        <v>111</v>
      </c>
      <c r="C78" s="15">
        <v>10</v>
      </c>
      <c r="D78" s="14" t="s">
        <v>112</v>
      </c>
      <c r="E78" s="53">
        <f>F62*0.015</f>
        <v>0</v>
      </c>
      <c r="F78" s="16">
        <f>C78*E78</f>
        <v>0</v>
      </c>
    </row>
    <row r="79" spans="1:6" ht="15" customHeight="1" x14ac:dyDescent="0.2">
      <c r="A79" s="177">
        <v>8.6</v>
      </c>
      <c r="B79" s="61" t="s">
        <v>113</v>
      </c>
      <c r="C79" s="15">
        <v>1</v>
      </c>
      <c r="D79" s="14" t="s">
        <v>14</v>
      </c>
      <c r="E79" s="53">
        <f>0.1*F68</f>
        <v>6992</v>
      </c>
      <c r="F79" s="16">
        <f>C79*E79</f>
        <v>6992</v>
      </c>
    </row>
    <row r="80" spans="1:6" ht="15" customHeight="1" x14ac:dyDescent="0.25">
      <c r="A80" s="165">
        <v>9</v>
      </c>
      <c r="B80" s="70" t="s">
        <v>114</v>
      </c>
      <c r="C80" s="71"/>
      <c r="D80" s="72"/>
      <c r="E80" s="73"/>
      <c r="F80" s="74">
        <f>SUM(F81:F83)</f>
        <v>0</v>
      </c>
    </row>
    <row r="84" spans="1:6" ht="15" customHeight="1" x14ac:dyDescent="0.25">
      <c r="A84" s="92"/>
      <c r="B84" s="160" t="s">
        <v>115</v>
      </c>
      <c r="C84" s="75"/>
      <c r="D84" s="76"/>
      <c r="E84" s="83"/>
      <c r="F84" s="181">
        <f>SUM(F5,F12,F31,F46,F61,F64,F68,F73,F80)</f>
        <v>1242294.42</v>
      </c>
    </row>
    <row r="85" spans="1:6" ht="15" customHeight="1" x14ac:dyDescent="0.25">
      <c r="A85" s="165">
        <v>10</v>
      </c>
      <c r="B85" s="70" t="s">
        <v>116</v>
      </c>
      <c r="C85" s="71"/>
      <c r="D85" s="72"/>
      <c r="E85" s="73"/>
      <c r="F85" s="74"/>
    </row>
    <row r="86" spans="1:6" ht="15" customHeight="1" x14ac:dyDescent="0.2">
      <c r="A86" s="177">
        <v>10.1</v>
      </c>
      <c r="B86" s="61" t="s">
        <v>117</v>
      </c>
      <c r="C86" s="166">
        <v>3.25</v>
      </c>
      <c r="D86" s="14" t="s">
        <v>105</v>
      </c>
      <c r="E86" s="175"/>
      <c r="F86" s="176">
        <f>C86%*F$84</f>
        <v>40374.568650000001</v>
      </c>
    </row>
    <row r="87" spans="1:6" ht="15" customHeight="1" x14ac:dyDescent="0.2">
      <c r="A87" s="177">
        <v>10.199999999999999</v>
      </c>
      <c r="B87" s="61" t="s">
        <v>118</v>
      </c>
      <c r="C87" s="166">
        <v>1</v>
      </c>
      <c r="D87" s="14" t="s">
        <v>105</v>
      </c>
      <c r="E87" s="175"/>
      <c r="F87" s="176">
        <f t="shared" ref="F87:F93" si="11">C87%*F$84</f>
        <v>12422.9442</v>
      </c>
    </row>
    <row r="88" spans="1:6" ht="15" customHeight="1" x14ac:dyDescent="0.2">
      <c r="A88" s="177">
        <v>10.3</v>
      </c>
      <c r="B88" s="61" t="s">
        <v>119</v>
      </c>
      <c r="C88" s="166">
        <v>5</v>
      </c>
      <c r="D88" s="14" t="s">
        <v>105</v>
      </c>
      <c r="E88" s="175"/>
      <c r="F88" s="176">
        <f t="shared" si="11"/>
        <v>62114.720999999998</v>
      </c>
    </row>
    <row r="89" spans="1:6" ht="15" customHeight="1" x14ac:dyDescent="0.2">
      <c r="A89" s="177">
        <v>10.4</v>
      </c>
      <c r="B89" s="61" t="s">
        <v>120</v>
      </c>
      <c r="C89" s="166">
        <v>0.5</v>
      </c>
      <c r="D89" s="14" t="s">
        <v>105</v>
      </c>
      <c r="E89" s="175"/>
      <c r="F89" s="176">
        <f t="shared" si="11"/>
        <v>6211.4721</v>
      </c>
    </row>
    <row r="90" spans="1:6" ht="15" customHeight="1" x14ac:dyDescent="0.2">
      <c r="A90" s="177">
        <v>10.5</v>
      </c>
      <c r="B90" s="61" t="s">
        <v>121</v>
      </c>
      <c r="C90" s="166">
        <v>5</v>
      </c>
      <c r="D90" s="14" t="s">
        <v>105</v>
      </c>
      <c r="E90" s="175"/>
      <c r="F90" s="176">
        <f t="shared" si="11"/>
        <v>62114.720999999998</v>
      </c>
    </row>
    <row r="91" spans="1:6" ht="15" customHeight="1" x14ac:dyDescent="0.2">
      <c r="A91" s="177">
        <v>10.6</v>
      </c>
      <c r="B91" s="61" t="s">
        <v>122</v>
      </c>
      <c r="C91" s="166">
        <v>9</v>
      </c>
      <c r="D91" s="14" t="s">
        <v>105</v>
      </c>
      <c r="E91" s="175"/>
      <c r="F91" s="176">
        <f t="shared" si="11"/>
        <v>111806.49779999998</v>
      </c>
    </row>
    <row r="92" spans="1:6" ht="15" customHeight="1" x14ac:dyDescent="0.2">
      <c r="A92" s="177">
        <v>10.7</v>
      </c>
      <c r="B92" s="61" t="s">
        <v>123</v>
      </c>
      <c r="C92" s="166">
        <v>2.5</v>
      </c>
      <c r="D92" s="14" t="s">
        <v>105</v>
      </c>
      <c r="E92" s="175"/>
      <c r="F92" s="176">
        <f t="shared" si="11"/>
        <v>31057.360499999999</v>
      </c>
    </row>
    <row r="93" spans="1:6" ht="15" customHeight="1" x14ac:dyDescent="0.2">
      <c r="A93" s="177">
        <v>10.8</v>
      </c>
      <c r="B93" s="61" t="s">
        <v>124</v>
      </c>
      <c r="C93" s="166">
        <v>15</v>
      </c>
      <c r="D93" s="14" t="s">
        <v>105</v>
      </c>
      <c r="E93" s="175"/>
      <c r="F93" s="176">
        <f t="shared" si="11"/>
        <v>186344.16299999997</v>
      </c>
    </row>
    <row r="94" spans="1:6" ht="15" customHeight="1" x14ac:dyDescent="0.25">
      <c r="A94" s="92"/>
      <c r="B94" s="160" t="s">
        <v>125</v>
      </c>
      <c r="C94" s="75"/>
      <c r="D94" s="76"/>
      <c r="E94" s="83"/>
      <c r="F94" s="181">
        <f>SUM(F84:F93)</f>
        <v>1754740.8682499996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G94"/>
  <sheetViews>
    <sheetView workbookViewId="0">
      <selection activeCell="G95" sqref="G95"/>
    </sheetView>
  </sheetViews>
  <sheetFormatPr defaultColWidth="9.140625" defaultRowHeight="15" customHeight="1" x14ac:dyDescent="0.2"/>
  <cols>
    <col min="1" max="1" width="12.7109375" style="162" customWidth="1"/>
    <col min="2" max="2" width="50.7109375" style="162" customWidth="1"/>
    <col min="3" max="4" width="12.7109375" style="162" customWidth="1"/>
    <col min="5" max="6" width="15.7109375" style="162" customWidth="1"/>
    <col min="7" max="16384" width="9.140625" style="162"/>
  </cols>
  <sheetData>
    <row r="1" spans="1:6" ht="15" customHeight="1" x14ac:dyDescent="0.25">
      <c r="A1" s="1" t="s">
        <v>0</v>
      </c>
      <c r="F1" s="161">
        <v>43544</v>
      </c>
    </row>
    <row r="2" spans="1:6" ht="15" customHeight="1" x14ac:dyDescent="0.25">
      <c r="A2" s="1" t="s">
        <v>135</v>
      </c>
    </row>
    <row r="4" spans="1:6" ht="30" x14ac:dyDescent="0.2">
      <c r="A4" s="182" t="s">
        <v>2</v>
      </c>
      <c r="B4" s="182" t="s">
        <v>3</v>
      </c>
      <c r="C4" s="182" t="s">
        <v>4</v>
      </c>
      <c r="D4" s="182" t="s">
        <v>5</v>
      </c>
      <c r="E4" s="183" t="s">
        <v>6</v>
      </c>
      <c r="F4" s="183" t="s">
        <v>7</v>
      </c>
    </row>
    <row r="5" spans="1:6" ht="15" customHeight="1" x14ac:dyDescent="0.25">
      <c r="A5" s="165">
        <v>1</v>
      </c>
      <c r="B5" s="70" t="s">
        <v>8</v>
      </c>
      <c r="C5" s="71"/>
      <c r="D5" s="72"/>
      <c r="E5" s="79"/>
      <c r="F5" s="74">
        <f>SUM(F6:F11)</f>
        <v>56494.58649999999</v>
      </c>
    </row>
    <row r="6" spans="1:6" ht="15" customHeight="1" x14ac:dyDescent="0.2">
      <c r="A6" s="177">
        <v>1.1000000000000001</v>
      </c>
      <c r="B6" s="127" t="s">
        <v>9</v>
      </c>
      <c r="C6" s="167">
        <f>C7</f>
        <v>1829.6</v>
      </c>
      <c r="D6" s="173" t="s">
        <v>11</v>
      </c>
      <c r="E6" s="174">
        <v>5</v>
      </c>
      <c r="F6" s="170">
        <f t="shared" ref="F6:F11" si="0">C6*E6</f>
        <v>9148</v>
      </c>
    </row>
    <row r="7" spans="1:6" ht="15" customHeight="1" x14ac:dyDescent="0.2">
      <c r="A7" s="177">
        <v>1.2</v>
      </c>
      <c r="B7" s="127" t="s">
        <v>12</v>
      </c>
      <c r="C7" s="167">
        <f>ROUNDUP(C33/2*5,0)+C43+C40+(C14+C20+C26)*0.2</f>
        <v>1829.6</v>
      </c>
      <c r="D7" s="173" t="s">
        <v>11</v>
      </c>
      <c r="E7" s="174">
        <v>7</v>
      </c>
      <c r="F7" s="170">
        <f t="shared" si="0"/>
        <v>12807.199999999999</v>
      </c>
    </row>
    <row r="8" spans="1:6" ht="15" customHeight="1" x14ac:dyDescent="0.2">
      <c r="A8" s="177">
        <v>1.3</v>
      </c>
      <c r="B8" s="127" t="s">
        <v>13</v>
      </c>
      <c r="C8" s="167">
        <v>1</v>
      </c>
      <c r="D8" s="173" t="s">
        <v>14</v>
      </c>
      <c r="E8" s="174">
        <v>2000</v>
      </c>
      <c r="F8" s="170">
        <f t="shared" si="0"/>
        <v>2000</v>
      </c>
    </row>
    <row r="9" spans="1:6" ht="15" customHeight="1" x14ac:dyDescent="0.2">
      <c r="A9" s="177">
        <v>1.4</v>
      </c>
      <c r="B9" s="127" t="s">
        <v>15</v>
      </c>
      <c r="C9" s="167">
        <v>1</v>
      </c>
      <c r="D9" s="173" t="s">
        <v>14</v>
      </c>
      <c r="E9" s="174">
        <v>8000</v>
      </c>
      <c r="F9" s="170">
        <f t="shared" si="0"/>
        <v>8000</v>
      </c>
    </row>
    <row r="10" spans="1:6" ht="15" customHeight="1" x14ac:dyDescent="0.2">
      <c r="A10" s="177">
        <v>1.5</v>
      </c>
      <c r="B10" s="127" t="s">
        <v>16</v>
      </c>
      <c r="C10" s="167">
        <f>(C16*0.4+C37*0.25+C43*0.175+C17*0.3)*0.6</f>
        <v>369.94049999999999</v>
      </c>
      <c r="D10" s="173" t="s">
        <v>17</v>
      </c>
      <c r="E10" s="174">
        <v>45</v>
      </c>
      <c r="F10" s="170">
        <f t="shared" si="0"/>
        <v>16647.322499999998</v>
      </c>
    </row>
    <row r="11" spans="1:6" ht="15" customHeight="1" x14ac:dyDescent="0.2">
      <c r="A11" s="177">
        <v>1.6</v>
      </c>
      <c r="B11" s="127" t="s">
        <v>18</v>
      </c>
      <c r="C11" s="167">
        <f>(C16*0.4+C37*0.25+C43*0.175+C17*0.3)*0.4</f>
        <v>246.62700000000001</v>
      </c>
      <c r="D11" s="173" t="s">
        <v>17</v>
      </c>
      <c r="E11" s="174">
        <v>32</v>
      </c>
      <c r="F11" s="170">
        <f t="shared" si="0"/>
        <v>7892.0640000000003</v>
      </c>
    </row>
    <row r="12" spans="1:6" ht="15" customHeight="1" x14ac:dyDescent="0.25">
      <c r="A12" s="165">
        <v>2</v>
      </c>
      <c r="B12" s="70" t="s">
        <v>19</v>
      </c>
      <c r="C12" s="71"/>
      <c r="D12" s="72"/>
      <c r="E12" s="79"/>
      <c r="F12" s="74">
        <f>SUM(F14:F30)</f>
        <v>114013.89999999997</v>
      </c>
    </row>
    <row r="13" spans="1:6" ht="15" customHeight="1" x14ac:dyDescent="0.25">
      <c r="A13" s="163">
        <v>2.1</v>
      </c>
      <c r="B13" s="62" t="s">
        <v>20</v>
      </c>
      <c r="C13" s="167"/>
      <c r="D13" s="168"/>
      <c r="E13" s="172"/>
      <c r="F13" s="170"/>
    </row>
    <row r="14" spans="1:6" ht="15" customHeight="1" x14ac:dyDescent="0.2">
      <c r="A14" s="164" t="s">
        <v>21</v>
      </c>
      <c r="B14" s="127" t="s">
        <v>22</v>
      </c>
      <c r="C14" s="167">
        <f>(118+217)*2.3</f>
        <v>770.49999999999989</v>
      </c>
      <c r="D14" s="173" t="s">
        <v>11</v>
      </c>
      <c r="E14" s="174">
        <v>27</v>
      </c>
      <c r="F14" s="170">
        <f t="shared" ref="F14:F18" si="1">C14*E14</f>
        <v>20803.499999999996</v>
      </c>
    </row>
    <row r="15" spans="1:6" ht="15" customHeight="1" x14ac:dyDescent="0.2">
      <c r="A15" s="164" t="s">
        <v>23</v>
      </c>
      <c r="B15" s="127" t="s">
        <v>24</v>
      </c>
      <c r="C15" s="167">
        <f>C14</f>
        <v>770.49999999999989</v>
      </c>
      <c r="D15" s="173" t="s">
        <v>11</v>
      </c>
      <c r="E15" s="174">
        <f>ROUNDUP(32*100/75,0)</f>
        <v>43</v>
      </c>
      <c r="F15" s="170">
        <f t="shared" si="1"/>
        <v>33131.499999999993</v>
      </c>
    </row>
    <row r="16" spans="1:6" ht="15" customHeight="1" x14ac:dyDescent="0.2">
      <c r="A16" s="164" t="s">
        <v>25</v>
      </c>
      <c r="B16" s="127" t="s">
        <v>26</v>
      </c>
      <c r="C16" s="167">
        <f>C15+(C35*0.45)+(C33*0.75)</f>
        <v>1021.7499999999999</v>
      </c>
      <c r="D16" s="173" t="s">
        <v>11</v>
      </c>
      <c r="E16" s="174">
        <f>ROUNDUP(18*260/110,0)</f>
        <v>43</v>
      </c>
      <c r="F16" s="170">
        <f t="shared" si="1"/>
        <v>43935.249999999993</v>
      </c>
    </row>
    <row r="17" spans="1:6" ht="15" customHeight="1" x14ac:dyDescent="0.2">
      <c r="A17" s="164" t="s">
        <v>27</v>
      </c>
      <c r="B17" s="127" t="s">
        <v>28</v>
      </c>
      <c r="C17" s="167">
        <f>C16*0.2</f>
        <v>204.35</v>
      </c>
      <c r="D17" s="173" t="s">
        <v>11</v>
      </c>
      <c r="E17" s="174">
        <v>24</v>
      </c>
      <c r="F17" s="170">
        <f t="shared" si="1"/>
        <v>4904.3999999999996</v>
      </c>
    </row>
    <row r="18" spans="1:6" ht="15" customHeight="1" x14ac:dyDescent="0.2">
      <c r="A18" s="164" t="s">
        <v>29</v>
      </c>
      <c r="B18" s="127" t="s">
        <v>30</v>
      </c>
      <c r="C18" s="167">
        <f>C16*0.1</f>
        <v>102.175</v>
      </c>
      <c r="D18" s="173" t="s">
        <v>11</v>
      </c>
      <c r="E18" s="174">
        <v>110</v>
      </c>
      <c r="F18" s="170">
        <f t="shared" si="1"/>
        <v>11239.25</v>
      </c>
    </row>
    <row r="19" spans="1:6" ht="15" customHeight="1" x14ac:dyDescent="0.25">
      <c r="A19" s="163">
        <v>2.2000000000000002</v>
      </c>
      <c r="B19" s="62" t="s">
        <v>31</v>
      </c>
      <c r="C19" s="167"/>
      <c r="D19" s="168"/>
      <c r="E19" s="172"/>
      <c r="F19" s="170"/>
    </row>
    <row r="20" spans="1:6" ht="15" customHeight="1" x14ac:dyDescent="0.2">
      <c r="A20" s="164" t="s">
        <v>32</v>
      </c>
      <c r="B20" s="127" t="s">
        <v>22</v>
      </c>
      <c r="C20" s="167">
        <v>0</v>
      </c>
      <c r="D20" s="173" t="s">
        <v>11</v>
      </c>
      <c r="E20" s="174">
        <v>27</v>
      </c>
      <c r="F20" s="170">
        <f t="shared" ref="F20:F24" si="2">C20*E20</f>
        <v>0</v>
      </c>
    </row>
    <row r="21" spans="1:6" ht="15" customHeight="1" x14ac:dyDescent="0.2">
      <c r="A21" s="164" t="s">
        <v>33</v>
      </c>
      <c r="B21" s="127" t="s">
        <v>34</v>
      </c>
      <c r="C21" s="167">
        <f>C20</f>
        <v>0</v>
      </c>
      <c r="D21" s="173" t="s">
        <v>11</v>
      </c>
      <c r="E21" s="174">
        <f>ROUNDUP(32*150/75,0)</f>
        <v>64</v>
      </c>
      <c r="F21" s="170">
        <f t="shared" si="2"/>
        <v>0</v>
      </c>
    </row>
    <row r="22" spans="1:6" ht="15" customHeight="1" x14ac:dyDescent="0.2">
      <c r="A22" s="164" t="s">
        <v>35</v>
      </c>
      <c r="B22" s="127" t="s">
        <v>36</v>
      </c>
      <c r="C22" s="167">
        <v>0</v>
      </c>
      <c r="D22" s="173" t="s">
        <v>11</v>
      </c>
      <c r="E22" s="174">
        <f>ROUNDUP(18*300/110,0)</f>
        <v>50</v>
      </c>
      <c r="F22" s="170">
        <f t="shared" si="2"/>
        <v>0</v>
      </c>
    </row>
    <row r="23" spans="1:6" ht="15" customHeight="1" x14ac:dyDescent="0.2">
      <c r="A23" s="164" t="s">
        <v>37</v>
      </c>
      <c r="B23" s="127" t="s">
        <v>28</v>
      </c>
      <c r="C23" s="167">
        <f>C22*0.2</f>
        <v>0</v>
      </c>
      <c r="D23" s="173" t="s">
        <v>11</v>
      </c>
      <c r="E23" s="174">
        <v>24</v>
      </c>
      <c r="F23" s="170">
        <f t="shared" si="2"/>
        <v>0</v>
      </c>
    </row>
    <row r="24" spans="1:6" ht="15" customHeight="1" x14ac:dyDescent="0.2">
      <c r="A24" s="164" t="s">
        <v>38</v>
      </c>
      <c r="B24" s="127" t="s">
        <v>30</v>
      </c>
      <c r="C24" s="167">
        <f>C22*0.1</f>
        <v>0</v>
      </c>
      <c r="D24" s="173" t="s">
        <v>11</v>
      </c>
      <c r="E24" s="174">
        <v>110</v>
      </c>
      <c r="F24" s="170">
        <f t="shared" si="2"/>
        <v>0</v>
      </c>
    </row>
    <row r="25" spans="1:6" ht="15" customHeight="1" x14ac:dyDescent="0.25">
      <c r="A25" s="163">
        <v>2.2999999999999998</v>
      </c>
      <c r="B25" s="62" t="s">
        <v>39</v>
      </c>
      <c r="C25" s="167"/>
      <c r="D25" s="179"/>
      <c r="E25" s="179"/>
      <c r="F25" s="180"/>
    </row>
    <row r="26" spans="1:6" ht="15" customHeight="1" x14ac:dyDescent="0.2">
      <c r="A26" s="164" t="s">
        <v>40</v>
      </c>
      <c r="B26" s="127" t="s">
        <v>41</v>
      </c>
      <c r="C26" s="167">
        <v>0</v>
      </c>
      <c r="D26" s="173" t="s">
        <v>11</v>
      </c>
      <c r="E26" s="174">
        <f>ROUNDUP(E14*0.85,0)</f>
        <v>23</v>
      </c>
      <c r="F26" s="170">
        <f t="shared" ref="F26:F30" si="3">C26*E26</f>
        <v>0</v>
      </c>
    </row>
    <row r="27" spans="1:6" ht="15" customHeight="1" x14ac:dyDescent="0.2">
      <c r="A27" s="164" t="s">
        <v>42</v>
      </c>
      <c r="B27" s="127" t="s">
        <v>24</v>
      </c>
      <c r="C27" s="167">
        <f>C26</f>
        <v>0</v>
      </c>
      <c r="D27" s="173" t="s">
        <v>11</v>
      </c>
      <c r="E27" s="174">
        <f>E15</f>
        <v>43</v>
      </c>
      <c r="F27" s="170">
        <f t="shared" si="3"/>
        <v>0</v>
      </c>
    </row>
    <row r="28" spans="1:6" ht="15" customHeight="1" x14ac:dyDescent="0.2">
      <c r="A28" s="164" t="s">
        <v>43</v>
      </c>
      <c r="B28" s="127" t="s">
        <v>44</v>
      </c>
      <c r="C28" s="167">
        <v>0</v>
      </c>
      <c r="D28" s="173" t="s">
        <v>11</v>
      </c>
      <c r="E28" s="174">
        <f>E16</f>
        <v>43</v>
      </c>
      <c r="F28" s="170">
        <f t="shared" si="3"/>
        <v>0</v>
      </c>
    </row>
    <row r="29" spans="1:6" ht="15" customHeight="1" x14ac:dyDescent="0.2">
      <c r="A29" s="164" t="s">
        <v>45</v>
      </c>
      <c r="B29" s="127" t="s">
        <v>28</v>
      </c>
      <c r="C29" s="167">
        <f>C28*0.2</f>
        <v>0</v>
      </c>
      <c r="D29" s="173" t="s">
        <v>11</v>
      </c>
      <c r="E29" s="174">
        <f>E17</f>
        <v>24</v>
      </c>
      <c r="F29" s="170">
        <f t="shared" si="3"/>
        <v>0</v>
      </c>
    </row>
    <row r="30" spans="1:6" ht="15" customHeight="1" x14ac:dyDescent="0.2">
      <c r="A30" s="164" t="s">
        <v>46</v>
      </c>
      <c r="B30" s="127" t="s">
        <v>30</v>
      </c>
      <c r="C30" s="167">
        <f>C28*0.1</f>
        <v>0</v>
      </c>
      <c r="D30" s="173" t="s">
        <v>11</v>
      </c>
      <c r="E30" s="174">
        <f>E18</f>
        <v>110</v>
      </c>
      <c r="F30" s="170">
        <f t="shared" si="3"/>
        <v>0</v>
      </c>
    </row>
    <row r="31" spans="1:6" x14ac:dyDescent="0.25">
      <c r="A31" s="165">
        <v>3</v>
      </c>
      <c r="B31" s="70" t="s">
        <v>47</v>
      </c>
      <c r="C31" s="71"/>
      <c r="D31" s="72"/>
      <c r="E31" s="79"/>
      <c r="F31" s="74">
        <f>SUM(F33:F45)</f>
        <v>94302.5</v>
      </c>
    </row>
    <row r="32" spans="1:6" ht="15" customHeight="1" x14ac:dyDescent="0.25">
      <c r="A32" s="177">
        <v>3.1</v>
      </c>
      <c r="B32" s="62" t="s">
        <v>48</v>
      </c>
      <c r="C32" s="15"/>
      <c r="D32" s="14"/>
      <c r="E32" s="53"/>
      <c r="F32" s="16"/>
    </row>
    <row r="33" spans="1:6" ht="15" customHeight="1" x14ac:dyDescent="0.2">
      <c r="A33" s="178" t="s">
        <v>49</v>
      </c>
      <c r="B33" s="61" t="s">
        <v>50</v>
      </c>
      <c r="C33" s="167">
        <f>118+217</f>
        <v>335</v>
      </c>
      <c r="D33" s="168" t="s">
        <v>51</v>
      </c>
      <c r="E33" s="169">
        <v>64</v>
      </c>
      <c r="F33" s="170">
        <f t="shared" ref="F33:F35" si="4">SUM(E33*C33)</f>
        <v>21440</v>
      </c>
    </row>
    <row r="34" spans="1:6" ht="15" customHeight="1" x14ac:dyDescent="0.2">
      <c r="A34" s="178" t="s">
        <v>52</v>
      </c>
      <c r="B34" s="61" t="s">
        <v>53</v>
      </c>
      <c r="C34" s="167">
        <v>0</v>
      </c>
      <c r="D34" s="168" t="s">
        <v>51</v>
      </c>
      <c r="E34" s="169">
        <v>61</v>
      </c>
      <c r="F34" s="170">
        <f t="shared" si="4"/>
        <v>0</v>
      </c>
    </row>
    <row r="35" spans="1:6" ht="15" customHeight="1" x14ac:dyDescent="0.2">
      <c r="A35" s="178" t="s">
        <v>54</v>
      </c>
      <c r="B35" s="61" t="s">
        <v>55</v>
      </c>
      <c r="C35" s="167">
        <v>0</v>
      </c>
      <c r="D35" s="168" t="s">
        <v>51</v>
      </c>
      <c r="E35" s="169">
        <v>52</v>
      </c>
      <c r="F35" s="170">
        <f t="shared" si="4"/>
        <v>0</v>
      </c>
    </row>
    <row r="36" spans="1:6" x14ac:dyDescent="0.25">
      <c r="A36" s="177">
        <v>3.2</v>
      </c>
      <c r="B36" s="62" t="s">
        <v>56</v>
      </c>
      <c r="C36" s="171"/>
      <c r="D36" s="171"/>
      <c r="E36" s="171"/>
      <c r="F36" s="171"/>
    </row>
    <row r="37" spans="1:6" ht="14.25" x14ac:dyDescent="0.2">
      <c r="A37" s="178" t="s">
        <v>57</v>
      </c>
      <c r="B37" s="61" t="s">
        <v>58</v>
      </c>
      <c r="C37" s="167">
        <v>0</v>
      </c>
      <c r="D37" s="168" t="s">
        <v>11</v>
      </c>
      <c r="E37" s="169">
        <v>70</v>
      </c>
      <c r="F37" s="170">
        <f>SUM(E37*C37)</f>
        <v>0</v>
      </c>
    </row>
    <row r="38" spans="1:6" ht="15" customHeight="1" x14ac:dyDescent="0.2">
      <c r="A38" s="178" t="s">
        <v>59</v>
      </c>
      <c r="B38" s="61" t="s">
        <v>60</v>
      </c>
      <c r="C38" s="167">
        <f>C37</f>
        <v>0</v>
      </c>
      <c r="D38" s="168" t="s">
        <v>11</v>
      </c>
      <c r="E38" s="169">
        <v>35</v>
      </c>
      <c r="F38" s="170">
        <f>SUM(E38*C38)</f>
        <v>0</v>
      </c>
    </row>
    <row r="39" spans="1:6" ht="15" customHeight="1" x14ac:dyDescent="0.25">
      <c r="A39" s="177">
        <v>3.3</v>
      </c>
      <c r="B39" s="62" t="s">
        <v>61</v>
      </c>
      <c r="E39" s="169"/>
      <c r="F39" s="170"/>
    </row>
    <row r="40" spans="1:6" ht="15" customHeight="1" x14ac:dyDescent="0.2">
      <c r="A40" s="178" t="s">
        <v>62</v>
      </c>
      <c r="B40" s="61" t="s">
        <v>63</v>
      </c>
      <c r="C40" s="167">
        <v>0</v>
      </c>
      <c r="D40" s="168" t="s">
        <v>11</v>
      </c>
      <c r="E40" s="169">
        <f>ROUNDUP(E37*125/150,0)</f>
        <v>59</v>
      </c>
      <c r="F40" s="170">
        <f t="shared" ref="F40:F41" si="5">SUM(E40*C40)</f>
        <v>0</v>
      </c>
    </row>
    <row r="41" spans="1:6" ht="15" customHeight="1" x14ac:dyDescent="0.2">
      <c r="A41" s="178" t="s">
        <v>64</v>
      </c>
      <c r="B41" s="61" t="s">
        <v>65</v>
      </c>
      <c r="C41" s="167">
        <f>C40</f>
        <v>0</v>
      </c>
      <c r="D41" s="168" t="s">
        <v>11</v>
      </c>
      <c r="E41" s="169">
        <f>ROUNDUP(E38*0.8,0)</f>
        <v>28</v>
      </c>
      <c r="F41" s="170">
        <f t="shared" si="5"/>
        <v>0</v>
      </c>
    </row>
    <row r="42" spans="1:6" ht="15" customHeight="1" x14ac:dyDescent="0.25">
      <c r="A42" s="177">
        <v>3.4</v>
      </c>
      <c r="B42" s="62" t="s">
        <v>66</v>
      </c>
      <c r="E42" s="169"/>
      <c r="F42" s="170"/>
    </row>
    <row r="43" spans="1:6" ht="15" customHeight="1" x14ac:dyDescent="0.2">
      <c r="A43" s="178" t="s">
        <v>67</v>
      </c>
      <c r="B43" s="61" t="s">
        <v>63</v>
      </c>
      <c r="C43" s="167">
        <f>(118+217)*2.5</f>
        <v>837.5</v>
      </c>
      <c r="D43" s="168" t="s">
        <v>11</v>
      </c>
      <c r="E43" s="169">
        <f>E40</f>
        <v>59</v>
      </c>
      <c r="F43" s="170">
        <f t="shared" ref="F43:F45" si="6">SUM(E43*C43)</f>
        <v>49412.5</v>
      </c>
    </row>
    <row r="44" spans="1:6" ht="14.25" x14ac:dyDescent="0.2">
      <c r="A44" s="178" t="s">
        <v>68</v>
      </c>
      <c r="B44" s="61" t="s">
        <v>65</v>
      </c>
      <c r="C44" s="167">
        <f>C43</f>
        <v>837.5</v>
      </c>
      <c r="D44" s="168" t="s">
        <v>11</v>
      </c>
      <c r="E44" s="169">
        <f>ROUNDUP(E38*0.8,0)</f>
        <v>28</v>
      </c>
      <c r="F44" s="170">
        <f t="shared" si="6"/>
        <v>23450</v>
      </c>
    </row>
    <row r="45" spans="1:6" ht="15" customHeight="1" x14ac:dyDescent="0.2">
      <c r="A45" s="177">
        <v>3.5</v>
      </c>
      <c r="B45" s="61" t="s">
        <v>69</v>
      </c>
      <c r="C45" s="167">
        <v>0</v>
      </c>
      <c r="D45" s="168" t="s">
        <v>14</v>
      </c>
      <c r="E45" s="169">
        <v>650</v>
      </c>
      <c r="F45" s="170">
        <f t="shared" si="6"/>
        <v>0</v>
      </c>
    </row>
    <row r="46" spans="1:6" ht="15" customHeight="1" x14ac:dyDescent="0.25">
      <c r="A46" s="165">
        <v>4</v>
      </c>
      <c r="B46" s="70" t="s">
        <v>70</v>
      </c>
      <c r="C46" s="71"/>
      <c r="D46" s="72"/>
      <c r="E46" s="79"/>
      <c r="F46" s="74">
        <f>SUM(F47:F60)</f>
        <v>115075</v>
      </c>
    </row>
    <row r="47" spans="1:6" ht="15" customHeight="1" x14ac:dyDescent="0.2">
      <c r="A47" s="177">
        <v>4.0999999999999996</v>
      </c>
      <c r="B47" s="61" t="s">
        <v>71</v>
      </c>
      <c r="C47" s="15">
        <v>3</v>
      </c>
      <c r="D47" s="14" t="s">
        <v>14</v>
      </c>
      <c r="E47" s="53">
        <v>4900</v>
      </c>
      <c r="F47" s="16">
        <f t="shared" ref="F47:F63" si="7">E47*C47</f>
        <v>14700</v>
      </c>
    </row>
    <row r="48" spans="1:6" ht="15" customHeight="1" x14ac:dyDescent="0.2">
      <c r="A48" s="177">
        <v>4.2</v>
      </c>
      <c r="B48" s="61" t="s">
        <v>72</v>
      </c>
      <c r="C48" s="15">
        <v>0</v>
      </c>
      <c r="D48" s="14" t="s">
        <v>14</v>
      </c>
      <c r="E48" s="53">
        <v>1650</v>
      </c>
      <c r="F48" s="16">
        <f t="shared" si="7"/>
        <v>0</v>
      </c>
    </row>
    <row r="49" spans="1:6" ht="15" customHeight="1" x14ac:dyDescent="0.25">
      <c r="A49" s="177">
        <v>4.3</v>
      </c>
      <c r="B49" s="62" t="s">
        <v>73</v>
      </c>
      <c r="C49" s="15"/>
      <c r="D49" s="14"/>
      <c r="E49" s="53"/>
      <c r="F49" s="16"/>
    </row>
    <row r="50" spans="1:6" ht="15" customHeight="1" x14ac:dyDescent="0.2">
      <c r="A50" s="178" t="s">
        <v>74</v>
      </c>
      <c r="B50" s="61" t="s">
        <v>75</v>
      </c>
      <c r="C50" s="15">
        <v>0</v>
      </c>
      <c r="D50" s="14" t="s">
        <v>14</v>
      </c>
      <c r="E50" s="53">
        <v>4200</v>
      </c>
      <c r="F50" s="16">
        <f t="shared" si="7"/>
        <v>0</v>
      </c>
    </row>
    <row r="51" spans="1:6" ht="15" customHeight="1" x14ac:dyDescent="0.2">
      <c r="A51" s="178" t="s">
        <v>76</v>
      </c>
      <c r="B51" s="61" t="s">
        <v>77</v>
      </c>
      <c r="C51" s="15">
        <v>0</v>
      </c>
      <c r="D51" s="14" t="s">
        <v>14</v>
      </c>
      <c r="E51" s="53">
        <v>5300</v>
      </c>
      <c r="F51" s="16">
        <f t="shared" si="7"/>
        <v>0</v>
      </c>
    </row>
    <row r="52" spans="1:6" ht="15" customHeight="1" x14ac:dyDescent="0.25">
      <c r="A52" s="177">
        <v>4.4000000000000004</v>
      </c>
      <c r="B52" s="62" t="s">
        <v>78</v>
      </c>
      <c r="C52" s="15"/>
      <c r="D52" s="14"/>
      <c r="E52" s="53"/>
      <c r="F52" s="16"/>
    </row>
    <row r="53" spans="1:6" ht="15" customHeight="1" x14ac:dyDescent="0.2">
      <c r="A53" s="178" t="s">
        <v>79</v>
      </c>
      <c r="B53" s="61" t="s">
        <v>80</v>
      </c>
      <c r="C53" s="15">
        <v>0</v>
      </c>
      <c r="D53" s="14" t="s">
        <v>51</v>
      </c>
      <c r="E53" s="53">
        <v>325</v>
      </c>
      <c r="F53" s="16">
        <f t="shared" si="7"/>
        <v>0</v>
      </c>
    </row>
    <row r="54" spans="1:6" ht="15" customHeight="1" x14ac:dyDescent="0.2">
      <c r="A54" s="178" t="s">
        <v>81</v>
      </c>
      <c r="B54" s="61" t="s">
        <v>82</v>
      </c>
      <c r="C54" s="15">
        <v>190</v>
      </c>
      <c r="D54" s="14" t="s">
        <v>51</v>
      </c>
      <c r="E54" s="53">
        <v>480</v>
      </c>
      <c r="F54" s="16">
        <f t="shared" si="7"/>
        <v>91200</v>
      </c>
    </row>
    <row r="55" spans="1:6" ht="15" customHeight="1" x14ac:dyDescent="0.2">
      <c r="A55" s="178" t="s">
        <v>83</v>
      </c>
      <c r="B55" s="61" t="s">
        <v>84</v>
      </c>
      <c r="C55" s="15">
        <v>0</v>
      </c>
      <c r="D55" s="14" t="s">
        <v>51</v>
      </c>
      <c r="E55" s="53">
        <v>600</v>
      </c>
      <c r="F55" s="16">
        <f t="shared" si="7"/>
        <v>0</v>
      </c>
    </row>
    <row r="56" spans="1:6" ht="15" customHeight="1" x14ac:dyDescent="0.2">
      <c r="A56" s="178" t="s">
        <v>85</v>
      </c>
      <c r="B56" s="61" t="s">
        <v>86</v>
      </c>
      <c r="C56" s="15">
        <v>0</v>
      </c>
      <c r="D56" s="14" t="s">
        <v>51</v>
      </c>
      <c r="E56" s="53">
        <v>750</v>
      </c>
      <c r="F56" s="16">
        <f t="shared" si="7"/>
        <v>0</v>
      </c>
    </row>
    <row r="57" spans="1:6" ht="15" customHeight="1" x14ac:dyDescent="0.25">
      <c r="A57" s="177">
        <v>4.5</v>
      </c>
      <c r="B57" s="62" t="s">
        <v>87</v>
      </c>
      <c r="C57" s="15"/>
      <c r="D57" s="14"/>
      <c r="E57" s="53"/>
      <c r="F57" s="16"/>
    </row>
    <row r="58" spans="1:6" ht="15" customHeight="1" x14ac:dyDescent="0.2">
      <c r="A58" s="178" t="s">
        <v>88</v>
      </c>
      <c r="B58" s="61" t="s">
        <v>89</v>
      </c>
      <c r="C58" s="15">
        <v>0</v>
      </c>
      <c r="D58" s="14" t="s">
        <v>14</v>
      </c>
      <c r="E58" s="53">
        <v>3800</v>
      </c>
      <c r="F58" s="16">
        <f t="shared" ref="F58" si="8">E58*C58</f>
        <v>0</v>
      </c>
    </row>
    <row r="59" spans="1:6" ht="15" customHeight="1" x14ac:dyDescent="0.2">
      <c r="A59" s="177">
        <v>4.5999999999999996</v>
      </c>
      <c r="B59" s="127" t="s">
        <v>90</v>
      </c>
      <c r="C59" s="15">
        <f>C33+C35</f>
        <v>335</v>
      </c>
      <c r="D59" s="128" t="s">
        <v>51</v>
      </c>
      <c r="E59" s="53">
        <v>25</v>
      </c>
      <c r="F59" s="16">
        <f t="shared" si="7"/>
        <v>8375</v>
      </c>
    </row>
    <row r="60" spans="1:6" ht="15" customHeight="1" x14ac:dyDescent="0.2">
      <c r="A60" s="177">
        <v>4.7</v>
      </c>
      <c r="B60" s="127" t="s">
        <v>91</v>
      </c>
      <c r="C60" s="15">
        <v>2</v>
      </c>
      <c r="D60" s="128" t="s">
        <v>92</v>
      </c>
      <c r="E60" s="53">
        <v>400</v>
      </c>
      <c r="F60" s="16">
        <f t="shared" si="7"/>
        <v>800</v>
      </c>
    </row>
    <row r="61" spans="1:6" ht="15" customHeight="1" x14ac:dyDescent="0.25">
      <c r="A61" s="165">
        <v>5</v>
      </c>
      <c r="B61" s="70" t="s">
        <v>93</v>
      </c>
      <c r="C61" s="71"/>
      <c r="D61" s="72"/>
      <c r="E61" s="73"/>
      <c r="F61" s="74">
        <f>SUM(F62:F63)</f>
        <v>0</v>
      </c>
    </row>
    <row r="62" spans="1:6" ht="15" customHeight="1" x14ac:dyDescent="0.2">
      <c r="A62" s="177">
        <v>5.0999999999999996</v>
      </c>
      <c r="B62" s="61" t="s">
        <v>94</v>
      </c>
      <c r="C62" s="167">
        <v>0</v>
      </c>
      <c r="D62" s="14" t="s">
        <v>14</v>
      </c>
      <c r="E62" s="53">
        <v>280000</v>
      </c>
      <c r="F62" s="16">
        <f t="shared" si="7"/>
        <v>0</v>
      </c>
    </row>
    <row r="63" spans="1:6" ht="15" customHeight="1" x14ac:dyDescent="0.2">
      <c r="A63" s="177">
        <v>5.2</v>
      </c>
      <c r="B63" s="61" t="s">
        <v>95</v>
      </c>
      <c r="C63" s="167">
        <v>0</v>
      </c>
      <c r="D63" s="14" t="s">
        <v>14</v>
      </c>
      <c r="E63" s="53"/>
      <c r="F63" s="16">
        <f t="shared" si="7"/>
        <v>0</v>
      </c>
    </row>
    <row r="64" spans="1:6" ht="15" customHeight="1" x14ac:dyDescent="0.25">
      <c r="A64" s="165">
        <v>6</v>
      </c>
      <c r="B64" s="70" t="s">
        <v>96</v>
      </c>
      <c r="C64" s="71"/>
      <c r="D64" s="72"/>
      <c r="E64" s="79"/>
      <c r="F64" s="74">
        <f>SUM(F65:F67)</f>
        <v>5911.25</v>
      </c>
    </row>
    <row r="65" spans="1:6" ht="15" customHeight="1" x14ac:dyDescent="0.2">
      <c r="A65" s="177">
        <v>6.1</v>
      </c>
      <c r="B65" s="61" t="s">
        <v>97</v>
      </c>
      <c r="C65" s="15">
        <v>6</v>
      </c>
      <c r="D65" s="14" t="s">
        <v>14</v>
      </c>
      <c r="E65" s="53">
        <v>50</v>
      </c>
      <c r="F65" s="16">
        <f t="shared" ref="F65:F71" si="9">E65*C65</f>
        <v>300</v>
      </c>
    </row>
    <row r="66" spans="1:6" ht="15" customHeight="1" x14ac:dyDescent="0.2">
      <c r="A66" s="177">
        <v>6.2</v>
      </c>
      <c r="B66" s="61" t="s">
        <v>98</v>
      </c>
      <c r="C66" s="15">
        <v>0</v>
      </c>
      <c r="D66" s="14" t="s">
        <v>11</v>
      </c>
      <c r="E66" s="53">
        <v>60</v>
      </c>
      <c r="F66" s="16">
        <f t="shared" si="9"/>
        <v>0</v>
      </c>
    </row>
    <row r="67" spans="1:6" ht="15" customHeight="1" x14ac:dyDescent="0.2">
      <c r="A67" s="177">
        <v>6.3</v>
      </c>
      <c r="B67" s="61" t="s">
        <v>99</v>
      </c>
      <c r="C67" s="15">
        <f>(118+217)*6.7</f>
        <v>2244.5</v>
      </c>
      <c r="D67" s="14" t="s">
        <v>11</v>
      </c>
      <c r="E67" s="53">
        <v>2.5</v>
      </c>
      <c r="F67" s="16">
        <f t="shared" si="9"/>
        <v>5611.25</v>
      </c>
    </row>
    <row r="68" spans="1:6" ht="15" customHeight="1" x14ac:dyDescent="0.25">
      <c r="A68" s="165">
        <v>7</v>
      </c>
      <c r="B68" s="70" t="s">
        <v>100</v>
      </c>
      <c r="C68" s="71"/>
      <c r="D68" s="72"/>
      <c r="E68" s="73"/>
      <c r="F68" s="74">
        <f>SUM(F69:F72)</f>
        <v>61640</v>
      </c>
    </row>
    <row r="69" spans="1:6" ht="15" customHeight="1" x14ac:dyDescent="0.2">
      <c r="A69" s="177">
        <v>7.1</v>
      </c>
      <c r="B69" s="61" t="s">
        <v>101</v>
      </c>
      <c r="C69" s="15">
        <v>0</v>
      </c>
      <c r="D69" s="14" t="s">
        <v>14</v>
      </c>
      <c r="E69" s="53">
        <v>100000</v>
      </c>
      <c r="F69" s="16">
        <f t="shared" si="9"/>
        <v>0</v>
      </c>
    </row>
    <row r="70" spans="1:6" ht="15" customHeight="1" x14ac:dyDescent="0.2">
      <c r="A70" s="177">
        <v>7.2</v>
      </c>
      <c r="B70" s="61" t="s">
        <v>102</v>
      </c>
      <c r="C70" s="15">
        <v>0</v>
      </c>
      <c r="D70" s="14" t="s">
        <v>14</v>
      </c>
      <c r="E70" s="53">
        <v>80000</v>
      </c>
      <c r="F70" s="16">
        <f t="shared" si="9"/>
        <v>0</v>
      </c>
    </row>
    <row r="71" spans="1:6" ht="15" customHeight="1" x14ac:dyDescent="0.2">
      <c r="A71" s="177">
        <v>7.3</v>
      </c>
      <c r="B71" s="61" t="s">
        <v>103</v>
      </c>
      <c r="C71" s="15">
        <f>118+217</f>
        <v>335</v>
      </c>
      <c r="D71" s="14" t="s">
        <v>51</v>
      </c>
      <c r="E71" s="53">
        <v>160</v>
      </c>
      <c r="F71" s="16">
        <f t="shared" si="9"/>
        <v>53600</v>
      </c>
    </row>
    <row r="72" spans="1:6" ht="15" customHeight="1" x14ac:dyDescent="0.2">
      <c r="A72" s="177">
        <v>7.4</v>
      </c>
      <c r="B72" s="61" t="s">
        <v>104</v>
      </c>
      <c r="C72" s="15">
        <v>15</v>
      </c>
      <c r="D72" s="14" t="s">
        <v>105</v>
      </c>
      <c r="E72" s="53">
        <f>SUM(F69:F71)</f>
        <v>53600</v>
      </c>
      <c r="F72" s="16">
        <f>E72*C72/100</f>
        <v>8040</v>
      </c>
    </row>
    <row r="73" spans="1:6" ht="15" customHeight="1" x14ac:dyDescent="0.25">
      <c r="A73" s="165">
        <v>8</v>
      </c>
      <c r="B73" s="70" t="s">
        <v>106</v>
      </c>
      <c r="C73" s="71"/>
      <c r="D73" s="72"/>
      <c r="E73" s="73"/>
      <c r="F73" s="74">
        <f>SUM(F74:F79)</f>
        <v>14901.558499999999</v>
      </c>
    </row>
    <row r="74" spans="1:6" ht="15" customHeight="1" x14ac:dyDescent="0.2">
      <c r="A74" s="177">
        <v>8.1</v>
      </c>
      <c r="B74" s="61" t="s">
        <v>107</v>
      </c>
      <c r="C74" s="15">
        <v>1</v>
      </c>
      <c r="D74" s="14" t="s">
        <v>14</v>
      </c>
      <c r="E74" s="53">
        <v>3000</v>
      </c>
      <c r="F74" s="16">
        <f t="shared" ref="F74:F76" si="10">C74*E74</f>
        <v>3000</v>
      </c>
    </row>
    <row r="75" spans="1:6" ht="15" customHeight="1" x14ac:dyDescent="0.2">
      <c r="A75" s="177">
        <v>8.1999999999999993</v>
      </c>
      <c r="B75" s="61" t="s">
        <v>108</v>
      </c>
      <c r="C75" s="15">
        <v>0</v>
      </c>
      <c r="D75" s="14" t="s">
        <v>14</v>
      </c>
      <c r="E75" s="53">
        <v>280</v>
      </c>
      <c r="F75" s="16">
        <f t="shared" si="10"/>
        <v>0</v>
      </c>
    </row>
    <row r="76" spans="1:6" ht="15" customHeight="1" x14ac:dyDescent="0.2">
      <c r="A76" s="177">
        <v>8.3000000000000007</v>
      </c>
      <c r="B76" s="61" t="s">
        <v>109</v>
      </c>
      <c r="C76" s="15">
        <v>1</v>
      </c>
      <c r="D76" s="14" t="s">
        <v>14</v>
      </c>
      <c r="E76" s="53">
        <f>0.015*(F46+F31+F12)</f>
        <v>4850.8709999999992</v>
      </c>
      <c r="F76" s="16">
        <f t="shared" si="10"/>
        <v>4850.8709999999992</v>
      </c>
    </row>
    <row r="77" spans="1:6" ht="15" customHeight="1" x14ac:dyDescent="0.2">
      <c r="A77" s="177">
        <v>8.4</v>
      </c>
      <c r="B77" s="61" t="s">
        <v>110</v>
      </c>
      <c r="C77" s="15">
        <v>1</v>
      </c>
      <c r="D77" s="14" t="s">
        <v>14</v>
      </c>
      <c r="E77" s="53">
        <f>0.15*F64</f>
        <v>886.6875</v>
      </c>
      <c r="F77" s="16">
        <f>C77*E77</f>
        <v>886.6875</v>
      </c>
    </row>
    <row r="78" spans="1:6" ht="15" customHeight="1" x14ac:dyDescent="0.2">
      <c r="A78" s="177">
        <v>8.5</v>
      </c>
      <c r="B78" s="61" t="s">
        <v>111</v>
      </c>
      <c r="C78" s="15">
        <v>10</v>
      </c>
      <c r="D78" s="14" t="s">
        <v>112</v>
      </c>
      <c r="E78" s="53">
        <f>F62*0.015</f>
        <v>0</v>
      </c>
      <c r="F78" s="16">
        <f>C78*E78</f>
        <v>0</v>
      </c>
    </row>
    <row r="79" spans="1:6" ht="15" customHeight="1" x14ac:dyDescent="0.2">
      <c r="A79" s="177">
        <v>8.6</v>
      </c>
      <c r="B79" s="61" t="s">
        <v>113</v>
      </c>
      <c r="C79" s="15">
        <v>1</v>
      </c>
      <c r="D79" s="14" t="s">
        <v>14</v>
      </c>
      <c r="E79" s="53">
        <f>0.1*F68</f>
        <v>6164</v>
      </c>
      <c r="F79" s="16">
        <f>C79*E79</f>
        <v>6164</v>
      </c>
    </row>
    <row r="80" spans="1:6" ht="15" customHeight="1" x14ac:dyDescent="0.25">
      <c r="A80" s="165">
        <v>9</v>
      </c>
      <c r="B80" s="70" t="s">
        <v>114</v>
      </c>
      <c r="C80" s="71"/>
      <c r="D80" s="72"/>
      <c r="E80" s="73"/>
      <c r="F80" s="74">
        <f>SUM(F81:F83)</f>
        <v>0</v>
      </c>
    </row>
    <row r="84" spans="1:7" ht="15" customHeight="1" x14ac:dyDescent="0.25">
      <c r="A84" s="92"/>
      <c r="B84" s="160" t="s">
        <v>115</v>
      </c>
      <c r="C84" s="75"/>
      <c r="D84" s="76"/>
      <c r="E84" s="83"/>
      <c r="F84" s="181">
        <f>SUM(F5,F12,F31,F46,F61,F64,F68,F73,F80)</f>
        <v>462338.79499999993</v>
      </c>
    </row>
    <row r="85" spans="1:7" ht="15" customHeight="1" x14ac:dyDescent="0.25">
      <c r="A85" s="165">
        <v>10</v>
      </c>
      <c r="B85" s="70" t="s">
        <v>116</v>
      </c>
      <c r="C85" s="71"/>
      <c r="D85" s="72"/>
      <c r="E85" s="73"/>
      <c r="F85" s="74"/>
    </row>
    <row r="86" spans="1:7" ht="15" customHeight="1" x14ac:dyDescent="0.2">
      <c r="A86" s="177">
        <v>10.1</v>
      </c>
      <c r="B86" s="61" t="s">
        <v>117</v>
      </c>
      <c r="C86" s="166">
        <v>3.25</v>
      </c>
      <c r="D86" s="14" t="s">
        <v>105</v>
      </c>
      <c r="E86" s="175"/>
      <c r="F86" s="176">
        <f>C86%*F$84</f>
        <v>15026.010837499998</v>
      </c>
    </row>
    <row r="87" spans="1:7" ht="15" customHeight="1" x14ac:dyDescent="0.2">
      <c r="A87" s="177">
        <v>10.199999999999999</v>
      </c>
      <c r="B87" s="61" t="s">
        <v>118</v>
      </c>
      <c r="C87" s="166">
        <v>1</v>
      </c>
      <c r="D87" s="14" t="s">
        <v>105</v>
      </c>
      <c r="E87" s="175"/>
      <c r="F87" s="176">
        <f t="shared" ref="F87:F93" si="11">C87%*F$84</f>
        <v>4623.3879499999994</v>
      </c>
    </row>
    <row r="88" spans="1:7" ht="15" customHeight="1" x14ac:dyDescent="0.2">
      <c r="A88" s="177">
        <v>10.3</v>
      </c>
      <c r="B88" s="61" t="s">
        <v>119</v>
      </c>
      <c r="C88" s="166">
        <v>5</v>
      </c>
      <c r="D88" s="14" t="s">
        <v>105</v>
      </c>
      <c r="E88" s="175"/>
      <c r="F88" s="176">
        <f t="shared" si="11"/>
        <v>23116.939749999998</v>
      </c>
    </row>
    <row r="89" spans="1:7" ht="15" customHeight="1" x14ac:dyDescent="0.2">
      <c r="A89" s="177">
        <v>10.4</v>
      </c>
      <c r="B89" s="61" t="s">
        <v>120</v>
      </c>
      <c r="C89" s="166">
        <v>0.5</v>
      </c>
      <c r="D89" s="14" t="s">
        <v>105</v>
      </c>
      <c r="E89" s="175"/>
      <c r="F89" s="176">
        <f t="shared" si="11"/>
        <v>2311.6939749999997</v>
      </c>
    </row>
    <row r="90" spans="1:7" ht="15" customHeight="1" x14ac:dyDescent="0.2">
      <c r="A90" s="177">
        <v>10.5</v>
      </c>
      <c r="B90" s="61" t="s">
        <v>121</v>
      </c>
      <c r="C90" s="166">
        <v>5</v>
      </c>
      <c r="D90" s="14" t="s">
        <v>105</v>
      </c>
      <c r="E90" s="175"/>
      <c r="F90" s="176">
        <f t="shared" si="11"/>
        <v>23116.939749999998</v>
      </c>
    </row>
    <row r="91" spans="1:7" ht="15" customHeight="1" x14ac:dyDescent="0.2">
      <c r="A91" s="177">
        <v>10.6</v>
      </c>
      <c r="B91" s="61" t="s">
        <v>122</v>
      </c>
      <c r="C91" s="166">
        <v>9</v>
      </c>
      <c r="D91" s="14" t="s">
        <v>105</v>
      </c>
      <c r="E91" s="175"/>
      <c r="F91" s="176">
        <f t="shared" si="11"/>
        <v>41610.491549999992</v>
      </c>
    </row>
    <row r="92" spans="1:7" ht="15" customHeight="1" x14ac:dyDescent="0.2">
      <c r="A92" s="177">
        <v>10.7</v>
      </c>
      <c r="B92" s="61" t="s">
        <v>123</v>
      </c>
      <c r="C92" s="166">
        <v>2.5</v>
      </c>
      <c r="D92" s="14" t="s">
        <v>105</v>
      </c>
      <c r="E92" s="175"/>
      <c r="F92" s="176">
        <f t="shared" si="11"/>
        <v>11558.469874999999</v>
      </c>
    </row>
    <row r="93" spans="1:7" ht="15" customHeight="1" x14ac:dyDescent="0.2">
      <c r="A93" s="177">
        <v>10.8</v>
      </c>
      <c r="B93" s="61" t="s">
        <v>124</v>
      </c>
      <c r="C93" s="166">
        <v>15</v>
      </c>
      <c r="D93" s="14" t="s">
        <v>105</v>
      </c>
      <c r="E93" s="175"/>
      <c r="F93" s="176">
        <f t="shared" si="11"/>
        <v>69350.819249999986</v>
      </c>
    </row>
    <row r="94" spans="1:7" ht="15" customHeight="1" x14ac:dyDescent="0.25">
      <c r="A94" s="92"/>
      <c r="B94" s="160" t="s">
        <v>125</v>
      </c>
      <c r="C94" s="75"/>
      <c r="D94" s="76"/>
      <c r="E94" s="83"/>
      <c r="F94" s="181">
        <f>SUM(F84:F93)</f>
        <v>653053.54793749982</v>
      </c>
      <c r="G94" s="185" t="s">
        <v>136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17B4C02EC8D648B4C781B1A763F48B" ma:contentTypeVersion="20" ma:contentTypeDescription="Create a new document." ma:contentTypeScope="" ma:versionID="602fd7c9da9069e80c0b5f4459bbd268">
  <xsd:schema xmlns:xsd="http://www.w3.org/2001/XMLSchema" xmlns:xs="http://www.w3.org/2001/XMLSchema" xmlns:p="http://schemas.microsoft.com/office/2006/metadata/properties" xmlns:ns2="6ea1fd69-44e0-4dc3-91fe-8c2a87369ad8" xmlns:ns3="477cd8cd-d94d-4adf-9868-ff11fffbb884" targetNamespace="http://schemas.microsoft.com/office/2006/metadata/properties" ma:root="true" ma:fieldsID="eba0f7f4735b08be0674c031bdb45889" ns2:_="" ns3:_="">
    <xsd:import namespace="6ea1fd69-44e0-4dc3-91fe-8c2a87369ad8"/>
    <xsd:import namespace="477cd8cd-d94d-4adf-9868-ff11fffbb884"/>
    <xsd:element name="properties">
      <xsd:complexType>
        <xsd:sequence>
          <xsd:element name="documentManagement">
            <xsd:complexType>
              <xsd:all>
                <xsd:element ref="ns2:DocumentType"/>
                <xsd:element ref="ns2:StakeholderTypes" minOccurs="0"/>
                <xsd:element ref="ns2:Description" minOccurs="0"/>
                <xsd:element ref="ns2:Exampl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a1fd69-44e0-4dc3-91fe-8c2a87369ad8" elementFormDefault="qualified">
    <xsd:import namespace="http://schemas.microsoft.com/office/2006/documentManagement/types"/>
    <xsd:import namespace="http://schemas.microsoft.com/office/infopath/2007/PartnerControls"/>
    <xsd:element name="DocumentType" ma:index="8" ma:displayName="Document Type" ma:default="Document" ma:description="VPA Document Type Meta Data" ma:format="Dropdown" ma:internalName="DocumentType">
      <xsd:simpleType>
        <xsd:restriction base="dms:Choice">
          <xsd:enumeration value="Document"/>
          <xsd:enumeration value="Agenda and Minutes"/>
          <xsd:enumeration value="Presentation"/>
          <xsd:enumeration value="Report"/>
          <xsd:enumeration value="Submission"/>
        </xsd:restriction>
      </xsd:simpleType>
    </xsd:element>
    <xsd:element name="StakeholderTypes" ma:index="9" nillable="true" ma:displayName="Stakeholder Types" ma:default="Government - State" ma:format="Dropdown" ma:internalName="StakeholderTypes" ma:requiredMultiChoice="true">
      <xsd:complexType>
        <xsd:complexContent>
          <xsd:extension base="dms:MultiChoice">
            <xsd:sequence>
              <xsd:element name="Value" maxOccurs="unbounded" minOccurs="0" nillable="true">
                <xsd:simpleType>
                  <xsd:restriction base="dms:Choice">
                    <xsd:enumeration value="Government - State"/>
                    <xsd:enumeration value="Government - Local"/>
                    <xsd:enumeration value="Developers and Builders"/>
                    <xsd:enumeration value="Utilities and Infrastructure providers"/>
                    <xsd:enumeration value="Traditional Owners"/>
                    <xsd:enumeration value="Groups (community organisations &amp; groups &amp; non-government organisations and businesses)"/>
                    <xsd:enumeration value="Public"/>
                  </xsd:restriction>
                </xsd:simpleType>
              </xsd:element>
            </xsd:sequence>
          </xsd:extension>
        </xsd:complexContent>
      </xsd:complexType>
    </xsd:element>
    <xsd:element name="Description" ma:index="10" nillable="true" ma:displayName="Description" ma:format="Dropdown" ma:internalName="Description">
      <xsd:simpleType>
        <xsd:restriction base="dms:Text">
          <xsd:maxLength value="255"/>
        </xsd:restriction>
      </xsd:simpleType>
    </xsd:element>
    <xsd:element name="Example" ma:index="11" nillable="true" ma:displayName="Example" ma:format="Dropdown" ma:internalName="Example">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ternalName="MediaServiceDateTaken"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2efb7472-f482-42c1-a61e-1d5c76355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7cd8cd-d94d-4adf-9868-ff11fffbb88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element name="TaxCatchAll" ma:index="28" nillable="true" ma:displayName="Taxonomy Catch All Column" ma:hidden="true" ma:list="{d0ad1a75-0251-4f6b-8981-aeb7ec5c21cb}" ma:internalName="TaxCatchAll" ma:showField="CatchAllData" ma:web="477cd8cd-d94d-4adf-9868-ff11fffbb8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StakeholderTypes xmlns="6ea1fd69-44e0-4dc3-91fe-8c2a87369ad8">
      <Value>Government - State</Value>
    </StakeholderTypes>
    <Description xmlns="6ea1fd69-44e0-4dc3-91fe-8c2a87369ad8" xsi:nil="true"/>
    <Example xmlns="6ea1fd69-44e0-4dc3-91fe-8c2a87369ad8" xsi:nil="true"/>
    <DocumentType xmlns="6ea1fd69-44e0-4dc3-91fe-8c2a87369ad8">Document</DocumentType>
    <_dlc_DocId xmlns="477cd8cd-d94d-4adf-9868-ff11fffbb884">5HJH465T24SM-1122540470-10246</_dlc_DocId>
    <_dlc_DocIdUrl xmlns="477cd8cd-d94d-4adf-9868-ff11fffbb884">
      <Url>https://victorianplanningauthority.sharepoint.com/sites/PPSheppartonSouthEast/_layouts/15/DocIdRedir.aspx?ID=5HJH465T24SM-1122540470-10246</Url>
      <Description>5HJH465T24SM-1122540470-10246</Description>
    </_dlc_DocIdUrl>
    <TaxCatchAll xmlns="477cd8cd-d94d-4adf-9868-ff11fffbb884" xsi:nil="true"/>
    <lcf76f155ced4ddcb4097134ff3c332f xmlns="6ea1fd69-44e0-4dc3-91fe-8c2a87369ad8">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2926A0-0176-4713-BCD4-DB9CA9F60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a1fd69-44e0-4dc3-91fe-8c2a87369ad8"/>
    <ds:schemaRef ds:uri="477cd8cd-d94d-4adf-9868-ff11fffbb8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40C698-04D7-433F-A4CA-6F45382C1745}">
  <ds:schemaRefs>
    <ds:schemaRef ds:uri="http://schemas.microsoft.com/sharepoint/events"/>
  </ds:schemaRefs>
</ds:datastoreItem>
</file>

<file path=customXml/itemProps3.xml><?xml version="1.0" encoding="utf-8"?>
<ds:datastoreItem xmlns:ds="http://schemas.openxmlformats.org/officeDocument/2006/customXml" ds:itemID="{052CD64A-66C9-48EF-8024-C3AC17315FE3}">
  <ds:schemaRefs>
    <ds:schemaRef ds:uri="477cd8cd-d94d-4adf-9868-ff11fffbb884"/>
    <ds:schemaRef ds:uri="http://schemas.microsoft.com/office/2006/metadata/properties"/>
    <ds:schemaRef ds:uri="6ea1fd69-44e0-4dc3-91fe-8c2a87369ad8"/>
    <ds:schemaRef ds:uri="http://purl.org/dc/elements/1.1/"/>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http://purl.org/dc/terms/"/>
    <ds:schemaRef ds:uri="http://purl.org/dc/dcmitype/"/>
  </ds:schemaRefs>
</ds:datastoreItem>
</file>

<file path=customXml/itemProps4.xml><?xml version="1.0" encoding="utf-8"?>
<ds:datastoreItem xmlns:ds="http://schemas.openxmlformats.org/officeDocument/2006/customXml" ds:itemID="{D84506E4-F87A-45AD-8D6B-C8AF5C9450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5</vt:i4>
      </vt:variant>
    </vt:vector>
  </HeadingPairs>
  <TitlesOfParts>
    <vt:vector size="26" baseType="lpstr">
      <vt:lpstr>Summary</vt:lpstr>
      <vt:lpstr>2501_2</vt:lpstr>
      <vt:lpstr>2511_2</vt:lpstr>
      <vt:lpstr>2521_2</vt:lpstr>
      <vt:lpstr>2531</vt:lpstr>
      <vt:lpstr>2541_2</vt:lpstr>
      <vt:lpstr>2601_2701_4</vt:lpstr>
      <vt:lpstr>2708_9</vt:lpstr>
      <vt:lpstr>2710_1</vt:lpstr>
      <vt:lpstr>2717_21</vt:lpstr>
      <vt:lpstr>2602_2705</vt:lpstr>
      <vt:lpstr>2706_7</vt:lpstr>
      <vt:lpstr>2712_3</vt:lpstr>
      <vt:lpstr>2714_6</vt:lpstr>
      <vt:lpstr>2801_2806</vt:lpstr>
      <vt:lpstr>2811_5</vt:lpstr>
      <vt:lpstr>Single intersection</vt:lpstr>
      <vt:lpstr>double intersection</vt:lpstr>
      <vt:lpstr>Park</vt:lpstr>
      <vt:lpstr>Sewer</vt:lpstr>
      <vt:lpstr>Water</vt:lpstr>
      <vt:lpstr>'double intersection'!Print_Area</vt:lpstr>
      <vt:lpstr>Park!Print_Area</vt:lpstr>
      <vt:lpstr>'double intersection'!Print_Titles</vt:lpstr>
      <vt:lpstr>Park!Print_Titles</vt:lpstr>
      <vt:lpstr>'Single intersection'!Print_Titles</vt:lpstr>
    </vt:vector>
  </TitlesOfParts>
  <Manager/>
  <Company>VicRoads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Braeden Strahan</dc:creator>
  <cp:keywords/>
  <dc:description/>
  <cp:lastModifiedBy>.&lt;m&lt;#m , </cp:lastModifiedBy>
  <cp:revision/>
  <cp:lastPrinted>2024-02-06T23:33:48Z</cp:lastPrinted>
  <dcterms:created xsi:type="dcterms:W3CDTF">1999-11-16T04:03:17Z</dcterms:created>
  <dcterms:modified xsi:type="dcterms:W3CDTF">2024-02-06T23:34:18Z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0x010100A717B4C02EC8D648B4C781B1A763F48B</vt:lpwstr>
  </property>
  <property fmtid="{D5CDD505-2E9C-101B-9397-08002B2CF9AE}" pid="3" name="Order">
    <vt:r8>320200</vt:r8>
  </property>
  <property fmtid="{D5CDD505-2E9C-101B-9397-08002B2CF9AE}" pid="4" name="_dlc_DocIdItemGuid">
    <vt:lpwstr>8b8b187b-6b57-4b62-a68a-c895873b0947</vt:lpwstr>
  </property>
  <property fmtid="{D5CDD505-2E9C-101B-9397-08002B2CF9AE}" pid="5" name="MediaServiceImageTags">
    <vt:lpwstr/>
  </property>
</Properties>
</file>